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GROUPS\GP_DOC_TECH\8_Publications_STI\2_To_validate_Thomas\ATV_Regenerative_Unit_Sizing_Tool_NVE94856_06\"/>
    </mc:Choice>
  </mc:AlternateContent>
  <bookViews>
    <workbookView xWindow="120" yWindow="30" windowWidth="20370" windowHeight="7500"/>
  </bookViews>
  <sheets>
    <sheet name="How to use it " sheetId="5" r:id="rId1"/>
    <sheet name="Simple Application" sheetId="1" r:id="rId2"/>
    <sheet name="Centrifugal Application" sheetId="3" r:id="rId3"/>
    <sheet name="Hoisting Application" sheetId="2" r:id="rId4"/>
    <sheet name="Data" sheetId="4" state="hidden" r:id="rId5"/>
  </sheets>
  <definedNames>
    <definedName name="_xlnm.Print_Area" localSheetId="3">'Hoisting Application'!$A$1:$M$32</definedName>
  </definedNames>
  <calcPr calcId="171027"/>
</workbook>
</file>

<file path=xl/calcChain.xml><?xml version="1.0" encoding="utf-8"?>
<calcChain xmlns="http://schemas.openxmlformats.org/spreadsheetml/2006/main">
  <c r="F16" i="2" l="1"/>
  <c r="E17" i="2" s="1"/>
  <c r="B21" i="2" l="1"/>
  <c r="B21" i="3"/>
  <c r="L22" i="2" l="1"/>
  <c r="L21" i="2"/>
  <c r="N22" i="3"/>
  <c r="N21" i="3"/>
  <c r="B20" i="1"/>
  <c r="B21" i="1"/>
  <c r="E11" i="2" l="1"/>
  <c r="B27" i="4" l="1"/>
  <c r="B28" i="4" s="1"/>
  <c r="B24" i="4"/>
  <c r="B1" i="4"/>
  <c r="H18" i="1" s="1"/>
  <c r="I8" i="2"/>
  <c r="F14" i="2"/>
  <c r="B9" i="2"/>
  <c r="B10" i="2" s="1"/>
  <c r="B25" i="4" l="1"/>
  <c r="B26" i="4"/>
  <c r="B29" i="4" s="1"/>
  <c r="F15" i="2"/>
  <c r="F19" i="2" s="1"/>
  <c r="I6" i="2"/>
  <c r="I7" i="2" s="1"/>
  <c r="I10" i="2" l="1"/>
  <c r="I11" i="2" s="1"/>
  <c r="I12" i="2" s="1"/>
  <c r="I13" i="2" s="1"/>
  <c r="B20" i="4"/>
  <c r="H18" i="4" s="1"/>
  <c r="I18" i="4" s="1"/>
  <c r="B30" i="4"/>
  <c r="H5" i="4"/>
  <c r="J5" i="4" s="1"/>
  <c r="K8" i="1"/>
  <c r="H6" i="4"/>
  <c r="I6" i="4" s="1"/>
  <c r="H7" i="4"/>
  <c r="H3" i="4"/>
  <c r="H4" i="4"/>
  <c r="H2" i="4"/>
  <c r="I7" i="3" l="1"/>
  <c r="I10" i="3" s="1"/>
  <c r="I11" i="3" s="1"/>
  <c r="I12" i="3" s="1"/>
  <c r="I13" i="3" s="1"/>
  <c r="B32" i="4"/>
  <c r="H17" i="4"/>
  <c r="I17" i="4" s="1"/>
  <c r="H14" i="4"/>
  <c r="J14" i="4" s="1"/>
  <c r="H16" i="4"/>
  <c r="I16" i="4" s="1"/>
  <c r="H15" i="4"/>
  <c r="I15" i="4" s="1"/>
  <c r="H13" i="4"/>
  <c r="I13" i="4" s="1"/>
  <c r="L6" i="2"/>
  <c r="J18" i="4"/>
  <c r="I22" i="2"/>
  <c r="I19" i="2"/>
  <c r="F20" i="2"/>
  <c r="F21" i="2" s="1"/>
  <c r="F22" i="2" s="1"/>
  <c r="B31" i="4"/>
  <c r="I5" i="4"/>
  <c r="J6" i="4"/>
  <c r="J3" i="4"/>
  <c r="I3" i="4"/>
  <c r="J2" i="4"/>
  <c r="I2" i="4"/>
  <c r="J7" i="4"/>
  <c r="I7" i="4"/>
  <c r="J4" i="4"/>
  <c r="I4" i="4"/>
  <c r="A39" i="4" l="1"/>
  <c r="L17" i="2" s="1"/>
  <c r="I14" i="4"/>
  <c r="I19" i="4" s="1"/>
  <c r="L8" i="2" s="1"/>
  <c r="J17" i="4"/>
  <c r="J13" i="4"/>
  <c r="J15" i="4"/>
  <c r="J16" i="4"/>
  <c r="H25" i="4"/>
  <c r="I17" i="3"/>
  <c r="J8" i="4"/>
  <c r="I8" i="4"/>
  <c r="J19" i="4" l="1"/>
  <c r="L9" i="2" s="1"/>
  <c r="H26" i="4"/>
  <c r="J26" i="4" s="1"/>
  <c r="I25" i="4"/>
  <c r="J25" i="4"/>
  <c r="I19" i="3"/>
  <c r="I20" i="3" s="1"/>
  <c r="I21" i="3" s="1"/>
  <c r="I22" i="3" s="1"/>
  <c r="L10" i="3" s="1"/>
  <c r="L18" i="3"/>
  <c r="H28" i="4"/>
  <c r="I28" i="4" s="1"/>
  <c r="H29" i="4"/>
  <c r="J29" i="4" s="1"/>
  <c r="H30" i="4"/>
  <c r="J30" i="4" s="1"/>
  <c r="H27" i="4"/>
  <c r="J27" i="4" s="1"/>
  <c r="L16" i="1"/>
  <c r="L13" i="1"/>
  <c r="I26" i="4" l="1"/>
  <c r="I30" i="4"/>
  <c r="L13" i="3"/>
  <c r="A40" i="4"/>
  <c r="O11" i="3" s="1"/>
  <c r="I29" i="4"/>
  <c r="J28" i="4"/>
  <c r="J31" i="4" s="1"/>
  <c r="L21" i="3" s="1"/>
  <c r="I27" i="4"/>
  <c r="I31" i="4" l="1"/>
  <c r="L20" i="3" s="1"/>
</calcChain>
</file>

<file path=xl/sharedStrings.xml><?xml version="1.0" encoding="utf-8"?>
<sst xmlns="http://schemas.openxmlformats.org/spreadsheetml/2006/main" count="122" uniqueCount="82">
  <si>
    <t>Motor Power (kW)</t>
  </si>
  <si>
    <t>Motor Efficiency</t>
  </si>
  <si>
    <t>Gear Box Efficiency</t>
  </si>
  <si>
    <t>Regenerative Power (kW)</t>
  </si>
  <si>
    <t>Number of ATVRU75N4</t>
  </si>
  <si>
    <t>Number of ATVRD15N4</t>
  </si>
  <si>
    <t xml:space="preserve">RegenPower = </t>
  </si>
  <si>
    <t>R1</t>
  </si>
  <si>
    <t>R2</t>
  </si>
  <si>
    <t>Hoist Characteristics</t>
  </si>
  <si>
    <t>Hoisting Speed (m/min)</t>
  </si>
  <si>
    <t>Typical Lifting High (m)</t>
  </si>
  <si>
    <t>Efficiency</t>
  </si>
  <si>
    <t>Motor</t>
  </si>
  <si>
    <t>Cycle</t>
  </si>
  <si>
    <t>Typical Cycle Time (min)</t>
  </si>
  <si>
    <t>Operating Hours/day (h)</t>
  </si>
  <si>
    <t>Working days/year (days)</t>
  </si>
  <si>
    <t>Cycle Load</t>
  </si>
  <si>
    <t>100% load</t>
  </si>
  <si>
    <t>75% load</t>
  </si>
  <si>
    <t>50% load</t>
  </si>
  <si>
    <t>25% load</t>
  </si>
  <si>
    <t>Static Power (kW)</t>
  </si>
  <si>
    <t>Energy (kWh)</t>
  </si>
  <si>
    <t>Motor Power</t>
  </si>
  <si>
    <t>% of use</t>
  </si>
  <si>
    <t>kWh</t>
  </si>
  <si>
    <t>Hour</t>
  </si>
  <si>
    <t>Day</t>
  </si>
  <si>
    <t>Year</t>
  </si>
  <si>
    <t>Average Static Power (kW)</t>
  </si>
  <si>
    <t>Average Descent Power (kW)</t>
  </si>
  <si>
    <t>Energy CO₂ content (Natural Gas) (g/kWh)</t>
  </si>
  <si>
    <t>Yearly Reduced CO₂ (t)</t>
  </si>
  <si>
    <t>Motor Speed (rpm)</t>
  </si>
  <si>
    <t>Centrifuge Characteristics</t>
  </si>
  <si>
    <t>Rated Speed of Centrifuge (rpm)</t>
  </si>
  <si>
    <t>Acceleration / Deceleration (s)</t>
  </si>
  <si>
    <t>Inertia of Motor and Pulleys (kgm²)</t>
  </si>
  <si>
    <t>Maximum Braking Power (kW)</t>
  </si>
  <si>
    <t>Average Braking Power (kW)</t>
  </si>
  <si>
    <t>ω=</t>
  </si>
  <si>
    <t>i=</t>
  </si>
  <si>
    <t>α=</t>
  </si>
  <si>
    <t>Tdec=</t>
  </si>
  <si>
    <t>Jtotal_wet=</t>
  </si>
  <si>
    <t>Jtotal_dry=</t>
  </si>
  <si>
    <t>Pdec_max(kW)=</t>
  </si>
  <si>
    <t>Pdec_avg(kW)=</t>
  </si>
  <si>
    <t>RegenPower=</t>
  </si>
  <si>
    <r>
      <t xml:space="preserve">Altivar Regenerative Unit </t>
    </r>
    <r>
      <rPr>
        <b/>
        <sz val="28"/>
        <color indexed="17"/>
        <rFont val="Arial"/>
        <family val="2"/>
      </rPr>
      <t>Sizing Tool</t>
    </r>
  </si>
  <si>
    <t>(1): Motor rated power
       Motor efficiency</t>
  </si>
  <si>
    <t>(2): Gear box efficiency (In case of no gearbox, set the efficiency to 1)</t>
  </si>
  <si>
    <t>Altivar Regenerative Unit</t>
  </si>
  <si>
    <t>Altivar Price (Local Currency)</t>
  </si>
  <si>
    <t>Total Price (Local Currency)</t>
  </si>
  <si>
    <t>Energy Cost (Local Currency/kWh)</t>
  </si>
  <si>
    <t xml:space="preserve">        Load      or</t>
  </si>
  <si>
    <t>NVE94856</t>
  </si>
  <si>
    <t>Number of Altivar Regenerative Unit(s) to order:</t>
  </si>
  <si>
    <t xml:space="preserve">Typical Cycle number / hour </t>
  </si>
  <si>
    <t xml:space="preserve"> </t>
  </si>
  <si>
    <r>
      <t xml:space="preserve">Yearly Saved 
Cost </t>
    </r>
    <r>
      <rPr>
        <b/>
        <sz val="9"/>
        <color theme="0"/>
        <rFont val="Arial"/>
        <family val="2"/>
      </rPr>
      <t>(Local Currency</t>
    </r>
    <r>
      <rPr>
        <b/>
        <sz val="10"/>
        <color theme="0"/>
        <rFont val="Arial"/>
        <family val="2"/>
      </rPr>
      <t>)</t>
    </r>
  </si>
  <si>
    <r>
      <t xml:space="preserve">Return On 
Investment </t>
    </r>
    <r>
      <rPr>
        <b/>
        <sz val="10"/>
        <color theme="0"/>
        <rFont val="Arial"/>
        <family val="2"/>
      </rPr>
      <t>(Year)</t>
    </r>
  </si>
  <si>
    <r>
      <t xml:space="preserve">Yearly Saved 
Cost </t>
    </r>
    <r>
      <rPr>
        <b/>
        <sz val="10"/>
        <color theme="0"/>
        <rFont val="Arial"/>
        <family val="2"/>
      </rPr>
      <t>(Local Currency)</t>
    </r>
  </si>
  <si>
    <t>Return On 
Investment (Year)</t>
  </si>
  <si>
    <t>Typical Cycle number / hour</t>
  </si>
  <si>
    <t>ATVRU75N4</t>
  </si>
  <si>
    <t xml:space="preserve">or </t>
  </si>
  <si>
    <t>ATVRD15N4</t>
  </si>
  <si>
    <t>www.schneider-electric.com/drives/</t>
  </si>
  <si>
    <t>NVE88423</t>
  </si>
  <si>
    <t xml:space="preserve">links to order Altivar Regenerative Unit:  </t>
  </si>
  <si>
    <r>
      <t>Link to latest "Altivar Regenerative Unit</t>
    </r>
    <r>
      <rPr>
        <b/>
        <sz val="11"/>
        <color theme="1"/>
        <rFont val="Arial"/>
        <family val="2"/>
      </rPr>
      <t xml:space="preserve"> sizing tool"</t>
    </r>
    <r>
      <rPr>
        <sz val="11"/>
        <color theme="1"/>
        <rFont val="Arial"/>
        <family val="2"/>
      </rPr>
      <t xml:space="preserve">:  </t>
    </r>
  </si>
  <si>
    <r>
      <t xml:space="preserve">Link to latest "Altivar Regenerative Unit </t>
    </r>
    <r>
      <rPr>
        <b/>
        <sz val="11"/>
        <color theme="1"/>
        <rFont val="Arial"/>
        <family val="2"/>
      </rPr>
      <t>user manual"</t>
    </r>
    <r>
      <rPr>
        <sz val="11"/>
        <color theme="1"/>
        <rFont val="Arial"/>
        <family val="2"/>
      </rPr>
      <t xml:space="preserve">:  </t>
    </r>
  </si>
  <si>
    <t>Time to lift or descent (s)</t>
  </si>
  <si>
    <t>Inertia of the load (kgm²)</t>
  </si>
  <si>
    <t>Mechanic (Gearbox,…)</t>
  </si>
  <si>
    <t>06/2018</t>
  </si>
  <si>
    <r>
      <t xml:space="preserve">Descent Power (kW) </t>
    </r>
    <r>
      <rPr>
        <vertAlign val="superscript"/>
        <sz val="10"/>
        <color rgb="FF626469"/>
        <rFont val="Arial"/>
        <family val="2"/>
      </rPr>
      <t>(1)</t>
    </r>
  </si>
  <si>
    <t>NVE94856-06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</si>
</sst>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-* #,##0.0\ _€_-;\-* #,##0.0\ _€_-;_-* &quot;-&quot;??\ _€_-;_-@_-"/>
    <numFmt numFmtId="166" formatCode="_-* #,##0\ _€_-;\-* #,##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6469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2"/>
      <color rgb="FF626469"/>
      <name val="Arial"/>
      <family val="2"/>
    </font>
    <font>
      <b/>
      <sz val="11"/>
      <color rgb="FF626469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11"/>
      <color theme="1"/>
      <name val="Arial"/>
      <family val="2"/>
    </font>
    <font>
      <b/>
      <sz val="24"/>
      <color theme="1"/>
      <name val="Arial"/>
      <family val="2"/>
    </font>
    <font>
      <b/>
      <sz val="28"/>
      <color indexed="17"/>
      <name val="Arial"/>
      <family val="2"/>
    </font>
    <font>
      <sz val="10"/>
      <color rgb="FF626469"/>
      <name val="Arial"/>
      <family val="2"/>
    </font>
    <font>
      <b/>
      <sz val="11"/>
      <color rgb="FF00953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rgb="FF62646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rgb="FF626469"/>
      <name val="Arial"/>
      <family val="2"/>
    </font>
    <font>
      <sz val="9"/>
      <color theme="1"/>
      <name val="Arial"/>
      <family val="2"/>
    </font>
    <font>
      <u/>
      <sz val="12"/>
      <color theme="10"/>
      <name val="Calibri"/>
      <family val="2"/>
      <scheme val="minor"/>
    </font>
    <font>
      <vertAlign val="superscript"/>
      <sz val="10"/>
      <color rgb="FF626469"/>
      <name val="Arial"/>
      <family val="2"/>
    </font>
    <font>
      <u/>
      <sz val="12"/>
      <color rgb="FF0095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1D3D4"/>
        <bgColor indexed="64"/>
      </patternFill>
    </fill>
    <fill>
      <patternFill patternType="solid">
        <fgColor rgb="FF00953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62646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626469"/>
      </top>
      <bottom style="thin">
        <color rgb="FF62646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7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4" borderId="0" xfId="0" applyFill="1"/>
    <xf numFmtId="2" fontId="0" fillId="2" borderId="0" xfId="0" applyNumberFormat="1" applyFill="1"/>
    <xf numFmtId="0" fontId="0" fillId="2" borderId="0" xfId="0" applyNumberFormat="1" applyFill="1"/>
    <xf numFmtId="0" fontId="6" fillId="2" borderId="0" xfId="0" applyFont="1" applyFill="1"/>
    <xf numFmtId="164" fontId="5" fillId="2" borderId="1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2" fontId="2" fillId="2" borderId="0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vertical="center"/>
    </xf>
    <xf numFmtId="0" fontId="3" fillId="0" borderId="0" xfId="0" applyFont="1"/>
    <xf numFmtId="0" fontId="3" fillId="0" borderId="5" xfId="0" applyFont="1" applyBorder="1"/>
    <xf numFmtId="2" fontId="3" fillId="0" borderId="6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2" fontId="3" fillId="0" borderId="0" xfId="0" applyNumberFormat="1" applyFont="1" applyBorder="1"/>
    <xf numFmtId="2" fontId="7" fillId="4" borderId="0" xfId="0" applyNumberFormat="1" applyFont="1" applyFill="1"/>
    <xf numFmtId="2" fontId="3" fillId="0" borderId="0" xfId="0" applyNumberFormat="1" applyFont="1"/>
    <xf numFmtId="0" fontId="9" fillId="2" borderId="0" xfId="0" applyFont="1" applyFill="1"/>
    <xf numFmtId="0" fontId="10" fillId="2" borderId="0" xfId="0" applyFont="1" applyFill="1" applyProtection="1"/>
    <xf numFmtId="0" fontId="12" fillId="2" borderId="0" xfId="0" applyFont="1" applyFill="1" applyAlignment="1">
      <alignment vertical="center"/>
    </xf>
    <xf numFmtId="0" fontId="13" fillId="2" borderId="0" xfId="0" applyFont="1" applyFill="1"/>
    <xf numFmtId="0" fontId="14" fillId="2" borderId="0" xfId="0" applyFont="1" applyFill="1" applyAlignment="1" applyProtection="1"/>
    <xf numFmtId="0" fontId="15" fillId="2" borderId="0" xfId="0" applyFont="1" applyFill="1" applyProtection="1"/>
    <xf numFmtId="0" fontId="14" fillId="2" borderId="0" xfId="0" applyFont="1" applyFill="1" applyProtection="1"/>
    <xf numFmtId="164" fontId="7" fillId="4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right"/>
    </xf>
    <xf numFmtId="0" fontId="1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2" fontId="2" fillId="3" borderId="0" xfId="0" applyNumberFormat="1" applyFont="1" applyFill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0" xfId="0" applyFont="1" applyFill="1" applyProtection="1">
      <protection locked="0"/>
    </xf>
    <xf numFmtId="0" fontId="6" fillId="3" borderId="3" xfId="0" applyFont="1" applyFill="1" applyBorder="1" applyProtection="1">
      <protection locked="0"/>
    </xf>
    <xf numFmtId="9" fontId="6" fillId="3" borderId="3" xfId="0" applyNumberFormat="1" applyFont="1" applyFill="1" applyBorder="1" applyProtection="1">
      <protection locked="0"/>
    </xf>
    <xf numFmtId="0" fontId="6" fillId="3" borderId="2" xfId="0" applyNumberFormat="1" applyFont="1" applyFill="1" applyBorder="1" applyProtection="1">
      <protection locked="0"/>
    </xf>
    <xf numFmtId="17" fontId="3" fillId="2" borderId="0" xfId="0" applyNumberFormat="1" applyFont="1" applyFill="1"/>
    <xf numFmtId="17" fontId="3" fillId="2" borderId="0" xfId="0" quotePrefix="1" applyNumberFormat="1" applyFont="1" applyFill="1"/>
    <xf numFmtId="43" fontId="6" fillId="2" borderId="1" xfId="4" applyFont="1" applyFill="1" applyBorder="1" applyAlignment="1">
      <alignment vertical="center"/>
    </xf>
    <xf numFmtId="1" fontId="4" fillId="4" borderId="0" xfId="4" applyNumberFormat="1" applyFont="1" applyFill="1" applyAlignment="1">
      <alignment horizontal="left" vertical="center"/>
    </xf>
    <xf numFmtId="0" fontId="18" fillId="2" borderId="0" xfId="0" applyFont="1" applyFill="1"/>
    <xf numFmtId="0" fontId="6" fillId="3" borderId="2" xfId="4" applyNumberFormat="1" applyFont="1" applyFill="1" applyBorder="1" applyProtection="1">
      <protection locked="0"/>
    </xf>
    <xf numFmtId="165" fontId="16" fillId="2" borderId="1" xfId="4" applyNumberFormat="1" applyFont="1" applyFill="1" applyBorder="1" applyAlignment="1">
      <alignment vertical="center"/>
    </xf>
    <xf numFmtId="165" fontId="16" fillId="2" borderId="1" xfId="4" applyNumberFormat="1" applyFont="1" applyFill="1" applyBorder="1" applyAlignment="1">
      <alignment horizontal="right" vertical="center"/>
    </xf>
    <xf numFmtId="165" fontId="16" fillId="2" borderId="4" xfId="4" applyNumberFormat="1" applyFont="1" applyFill="1" applyBorder="1" applyAlignment="1">
      <alignment vertical="center"/>
    </xf>
    <xf numFmtId="0" fontId="21" fillId="2" borderId="0" xfId="0" applyFont="1" applyFill="1"/>
    <xf numFmtId="0" fontId="23" fillId="2" borderId="0" xfId="5" applyFont="1" applyFill="1"/>
    <xf numFmtId="0" fontId="3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43" fontId="16" fillId="2" borderId="1" xfId="4" applyNumberFormat="1" applyFont="1" applyFill="1" applyBorder="1" applyAlignment="1">
      <alignment vertical="center"/>
    </xf>
    <xf numFmtId="166" fontId="16" fillId="2" borderId="1" xfId="4" applyNumberFormat="1" applyFont="1" applyFill="1" applyBorder="1" applyAlignment="1">
      <alignment vertical="center"/>
    </xf>
    <xf numFmtId="43" fontId="16" fillId="2" borderId="1" xfId="4" applyNumberFormat="1" applyFont="1" applyFill="1" applyBorder="1" applyAlignment="1">
      <alignment horizontal="right" vertical="center"/>
    </xf>
    <xf numFmtId="0" fontId="12" fillId="2" borderId="0" xfId="0" applyFont="1" applyFill="1" applyAlignment="1" applyProtection="1">
      <alignment vertical="center"/>
      <protection locked="0"/>
    </xf>
    <xf numFmtId="0" fontId="25" fillId="2" borderId="0" xfId="5" applyFont="1" applyFill="1" applyProtection="1">
      <protection locked="0"/>
    </xf>
    <xf numFmtId="0" fontId="23" fillId="2" borderId="0" xfId="5" applyFont="1" applyFill="1" applyProtection="1"/>
    <xf numFmtId="0" fontId="20" fillId="2" borderId="0" xfId="5" applyFill="1" applyProtection="1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25" fillId="2" borderId="0" xfId="5" applyFont="1" applyFill="1" applyAlignment="1" applyProtection="1">
      <alignment horizontal="right"/>
      <protection locked="0"/>
    </xf>
    <xf numFmtId="0" fontId="0" fillId="2" borderId="0" xfId="0" applyFill="1" applyAlignment="1">
      <alignment horizontal="center" wrapText="1"/>
    </xf>
    <xf numFmtId="0" fontId="22" fillId="2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vertical="center" wrapText="1"/>
    </xf>
    <xf numFmtId="1" fontId="7" fillId="4" borderId="0" xfId="4" applyNumberFormat="1" applyFont="1" applyFill="1" applyAlignment="1">
      <alignment horizontal="center" vertical="center"/>
    </xf>
    <xf numFmtId="2" fontId="7" fillId="4" borderId="0" xfId="3" applyNumberFormat="1" applyFont="1" applyFill="1" applyAlignment="1">
      <alignment horizontal="center" vertical="center" wrapText="1"/>
    </xf>
    <xf numFmtId="2" fontId="7" fillId="4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1" fontId="7" fillId="4" borderId="0" xfId="4" applyNumberFormat="1" applyFont="1" applyFill="1" applyAlignment="1">
      <alignment horizontal="center" vertical="center" wrapText="1"/>
    </xf>
  </cellXfs>
  <cellStyles count="6">
    <cellStyle name="Comma" xfId="4" builtinId="3"/>
    <cellStyle name="Comma 2" xfId="1"/>
    <cellStyle name="Hyperlink" xfId="5" builtinId="8"/>
    <cellStyle name="Milliers 2" xfId="2"/>
    <cellStyle name="Normal" xfId="0" builtinId="0"/>
    <cellStyle name="Percent" xfId="3" builtinId="5"/>
  </cellStyles>
  <dxfs count="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9530"/>
      <color rgb="FF626469"/>
      <color rgb="FF9FA0A4"/>
      <color rgb="FFD1D3D4"/>
      <color rgb="FFFFD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fmlaLink="Data!$A$1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'Simple Application'!A1"/><Relationship Id="rId1" Type="http://schemas.openxmlformats.org/officeDocument/2006/relationships/image" Target="../media/image1.jpeg"/><Relationship Id="rId6" Type="http://schemas.openxmlformats.org/officeDocument/2006/relationships/hyperlink" Target="#'Centrifugal Application'!A1"/><Relationship Id="rId5" Type="http://schemas.openxmlformats.org/officeDocument/2006/relationships/image" Target="../media/image3.png"/><Relationship Id="rId4" Type="http://schemas.openxmlformats.org/officeDocument/2006/relationships/hyperlink" Target="#'Hoisting Application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9.emf"/><Relationship Id="rId1" Type="http://schemas.openxmlformats.org/officeDocument/2006/relationships/image" Target="../media/image5.emf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200026</xdr:rowOff>
    </xdr:from>
    <xdr:to>
      <xdr:col>2</xdr:col>
      <xdr:colOff>419100</xdr:colOff>
      <xdr:row>2</xdr:row>
      <xdr:rowOff>122592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00026"/>
          <a:ext cx="1704975" cy="551216"/>
        </a:xfrm>
        <a:prstGeom prst="rect">
          <a:avLst/>
        </a:prstGeom>
      </xdr:spPr>
    </xdr:pic>
    <xdr:clientData/>
  </xdr:twoCellAnchor>
  <xdr:twoCellAnchor>
    <xdr:from>
      <xdr:col>3</xdr:col>
      <xdr:colOff>28575</xdr:colOff>
      <xdr:row>2</xdr:row>
      <xdr:rowOff>0</xdr:rowOff>
    </xdr:from>
    <xdr:to>
      <xdr:col>11</xdr:col>
      <xdr:colOff>685800</xdr:colOff>
      <xdr:row>7</xdr:row>
      <xdr:rowOff>95250</xdr:rowOff>
    </xdr:to>
    <xdr:sp macro="" textlink="">
      <xdr:nvSpPr>
        <xdr:cNvPr id="8" name="Rounded Rectangl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314575" y="628650"/>
          <a:ext cx="7124700" cy="1000125"/>
        </a:xfrm>
        <a:prstGeom prst="roundRect">
          <a:avLst>
            <a:gd name="adj" fmla="val 4548"/>
          </a:avLst>
        </a:prstGeom>
        <a:solidFill>
          <a:srgbClr val="FFD100">
            <a:alpha val="28000"/>
          </a:srgbClr>
        </a:solidFill>
        <a:ln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r>
            <a:rPr lang="fr-FR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</a:t>
          </a:r>
          <a:r>
            <a:rPr lang="fr-FR" sz="12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purpose of this tool is to give you the :</a:t>
          </a:r>
        </a:p>
        <a:p>
          <a:endParaRPr lang="fr-FR" sz="12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fr-FR" sz="12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 of Altivar Regenerative Unit to order regarding your application.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fr-FR" sz="12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Yearly Saved Cost and Yearly Reduced C0</a:t>
          </a:r>
          <a:r>
            <a:rPr lang="fr-FR" sz="1200" baseline="-250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fr-FR" sz="12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fr-FR" sz="12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fr-FR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Return</a:t>
          </a:r>
          <a:r>
            <a:rPr lang="fr-FR" sz="12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On Investment.</a:t>
          </a:r>
          <a:endParaRPr lang="fr-FR" sz="12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47626</xdr:colOff>
      <xdr:row>8</xdr:row>
      <xdr:rowOff>66675</xdr:rowOff>
    </xdr:from>
    <xdr:to>
      <xdr:col>12</xdr:col>
      <xdr:colOff>0</xdr:colOff>
      <xdr:row>14</xdr:row>
      <xdr:rowOff>28575</xdr:rowOff>
    </xdr:to>
    <xdr:grpSp>
      <xdr:nvGrpSpPr>
        <xdr:cNvPr id="9" name="Group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2333626" y="1781175"/>
          <a:ext cx="7134224" cy="1047750"/>
          <a:chOff x="2371726" y="2324100"/>
          <a:chExt cx="6924674" cy="1104900"/>
        </a:xfrm>
      </xdr:grpSpPr>
      <xdr:sp macro="" textlink="">
        <xdr:nvSpPr>
          <xdr:cNvPr id="10" name="Rounded Rectangle 1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2371726" y="2324100"/>
            <a:ext cx="6924674" cy="1104900"/>
          </a:xfrm>
          <a:prstGeom prst="roundRect">
            <a:avLst>
              <a:gd name="adj" fmla="val 4548"/>
            </a:avLst>
          </a:prstGeom>
          <a:solidFill>
            <a:srgbClr val="FFD100">
              <a:alpha val="28000"/>
            </a:srgbClr>
          </a:solidFill>
          <a:ln>
            <a:solidFill>
              <a:srgbClr val="00953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/>
          <a:lstStyle/>
          <a:p>
            <a:r>
              <a:rPr lang="fr-FR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Select the tab corresponding to your application :</a:t>
            </a:r>
          </a:p>
          <a:p>
            <a:pPr marL="171450" indent="-171450">
              <a:buFont typeface="Arial" panose="020B0604020202020204" pitchFamily="34" charset="0"/>
              <a:buChar char="•"/>
            </a:pPr>
            <a:endParaRPr lang="fr-FR" sz="12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endParaRPr lang="fr-FR" sz="12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endParaRPr lang="fr-FR" sz="12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r>
              <a:rPr lang="fr-FR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and enter the data in the grey cells.</a:t>
            </a:r>
          </a:p>
          <a:p>
            <a:endParaRPr lang="fr-FR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/>
            <a:endPara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pic>
        <xdr:nvPicPr>
          <xdr:cNvPr id="3" name="Image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2041" t="10001" r="4069" b="3320"/>
          <a:stretch/>
        </xdr:blipFill>
        <xdr:spPr>
          <a:xfrm>
            <a:off x="2647949" y="2752726"/>
            <a:ext cx="1314451" cy="247649"/>
          </a:xfrm>
          <a:prstGeom prst="rect">
            <a:avLst/>
          </a:prstGeom>
        </xdr:spPr>
      </xdr:pic>
      <xdr:pic>
        <xdr:nvPicPr>
          <xdr:cNvPr id="5" name="Image 4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6838950" y="2757503"/>
            <a:ext cx="1409524" cy="238095"/>
          </a:xfrm>
          <a:prstGeom prst="rect">
            <a:avLst/>
          </a:prstGeom>
        </xdr:spPr>
      </xdr:pic>
      <xdr:pic>
        <xdr:nvPicPr>
          <xdr:cNvPr id="6" name="Image 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4648200" y="2752741"/>
            <a:ext cx="1561905" cy="24761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577519</xdr:colOff>
      <xdr:row>11</xdr:row>
      <xdr:rowOff>160694</xdr:rowOff>
    </xdr:from>
    <xdr:to>
      <xdr:col>12</xdr:col>
      <xdr:colOff>1</xdr:colOff>
      <xdr:row>13</xdr:row>
      <xdr:rowOff>28575</xdr:rowOff>
    </xdr:to>
    <xdr:sp macro="" textlink="">
      <xdr:nvSpPr>
        <xdr:cNvPr id="12" name="Rounded Rectangle 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35119" y="2265719"/>
          <a:ext cx="2851482" cy="286981"/>
        </a:xfrm>
        <a:prstGeom prst="roundRect">
          <a:avLst>
            <a:gd name="adj" fmla="val 25479"/>
          </a:avLst>
        </a:prstGeom>
        <a:noFill/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4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587039</xdr:colOff>
      <xdr:row>15</xdr:row>
      <xdr:rowOff>2414</xdr:rowOff>
    </xdr:from>
    <xdr:to>
      <xdr:col>12</xdr:col>
      <xdr:colOff>9524</xdr:colOff>
      <xdr:row>16</xdr:row>
      <xdr:rowOff>19050</xdr:rowOff>
    </xdr:to>
    <xdr:sp macro="" textlink="">
      <xdr:nvSpPr>
        <xdr:cNvPr id="11" name="Rounded Rectangle 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244639" y="2907539"/>
          <a:ext cx="2851485" cy="245236"/>
        </a:xfrm>
        <a:prstGeom prst="roundRect">
          <a:avLst>
            <a:gd name="adj" fmla="val 25479"/>
          </a:avLst>
        </a:prstGeom>
        <a:noFill/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4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247651</xdr:colOff>
      <xdr:row>0</xdr:row>
      <xdr:rowOff>180974</xdr:rowOff>
    </xdr:from>
    <xdr:to>
      <xdr:col>12</xdr:col>
      <xdr:colOff>95250</xdr:colOff>
      <xdr:row>3</xdr:row>
      <xdr:rowOff>57149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47651" y="180974"/>
          <a:ext cx="7191374" cy="447675"/>
        </a:xfrm>
        <a:prstGeom prst="roundRect">
          <a:avLst>
            <a:gd name="adj" fmla="val 25479"/>
          </a:avLst>
        </a:prstGeom>
        <a:solidFill>
          <a:srgbClr val="009530"/>
        </a:solidFill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95251</xdr:colOff>
      <xdr:row>0</xdr:row>
      <xdr:rowOff>66675</xdr:rowOff>
    </xdr:from>
    <xdr:to>
      <xdr:col>18</xdr:col>
      <xdr:colOff>515471</xdr:colOff>
      <xdr:row>22</xdr:row>
      <xdr:rowOff>0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5251" y="66675"/>
          <a:ext cx="11421595" cy="4200525"/>
        </a:xfrm>
        <a:prstGeom prst="roundRect">
          <a:avLst>
            <a:gd name="adj" fmla="val 4548"/>
          </a:avLst>
        </a:prstGeom>
        <a:noFill/>
        <a:ln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354429</xdr:colOff>
      <xdr:row>1</xdr:row>
      <xdr:rowOff>8021</xdr:rowOff>
    </xdr:from>
    <xdr:to>
      <xdr:col>2</xdr:col>
      <xdr:colOff>314325</xdr:colOff>
      <xdr:row>3</xdr:row>
      <xdr:rowOff>39719</xdr:rowOff>
    </xdr:to>
    <xdr:pic>
      <xdr:nvPicPr>
        <xdr:cNvPr id="4" name="Picture 3" descr="Logo_SE_White.ep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4429" y="198521"/>
          <a:ext cx="1179096" cy="412698"/>
        </a:xfrm>
        <a:prstGeom prst="rect">
          <a:avLst/>
        </a:prstGeom>
      </xdr:spPr>
    </xdr:pic>
    <xdr:clientData/>
  </xdr:twoCellAnchor>
  <xdr:twoCellAnchor>
    <xdr:from>
      <xdr:col>2</xdr:col>
      <xdr:colOff>397094</xdr:colOff>
      <xdr:row>1</xdr:row>
      <xdr:rowOff>39414</xdr:rowOff>
    </xdr:from>
    <xdr:to>
      <xdr:col>12</xdr:col>
      <xdr:colOff>9525</xdr:colOff>
      <xdr:row>3</xdr:row>
      <xdr:rowOff>13138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16294" y="229914"/>
          <a:ext cx="5708431" cy="354724"/>
        </a:xfrm>
        <a:prstGeom prst="rect">
          <a:avLst/>
        </a:prstGeom>
        <a:solidFill>
          <a:srgbClr val="009530"/>
        </a:solidFill>
        <a:ln w="9525" cmpd="sng">
          <a:solidFill>
            <a:srgbClr val="00953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6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Altivar Regenerative</a:t>
          </a:r>
          <a:r>
            <a:rPr lang="fr-FR" sz="16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Unit Sizing Tool: Simple Application</a:t>
          </a:r>
        </a:p>
        <a:p>
          <a:endParaRPr lang="fr-FR" sz="1600" b="1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219074</xdr:colOff>
      <xdr:row>5</xdr:row>
      <xdr:rowOff>152400</xdr:rowOff>
    </xdr:from>
    <xdr:to>
      <xdr:col>5</xdr:col>
      <xdr:colOff>533399</xdr:colOff>
      <xdr:row>18</xdr:row>
      <xdr:rowOff>57150</xdr:rowOff>
    </xdr:to>
    <xdr:sp macro="" textlink="">
      <xdr:nvSpPr>
        <xdr:cNvPr id="6" name="Rounded Rectangl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19074" y="1104900"/>
          <a:ext cx="3362325" cy="2466975"/>
        </a:xfrm>
        <a:prstGeom prst="roundRect">
          <a:avLst>
            <a:gd name="adj" fmla="val 4548"/>
          </a:avLst>
        </a:prstGeom>
        <a:noFill/>
        <a:ln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370645</xdr:colOff>
      <xdr:row>5</xdr:row>
      <xdr:rowOff>175383</xdr:rowOff>
    </xdr:from>
    <xdr:to>
      <xdr:col>12</xdr:col>
      <xdr:colOff>304800</xdr:colOff>
      <xdr:row>18</xdr:row>
      <xdr:rowOff>34166</xdr:rowOff>
    </xdr:to>
    <xdr:sp macro="" textlink="">
      <xdr:nvSpPr>
        <xdr:cNvPr id="7" name="Rounded Rectangl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028245" y="1127883"/>
          <a:ext cx="3525080" cy="2421008"/>
        </a:xfrm>
        <a:prstGeom prst="roundRect">
          <a:avLst>
            <a:gd name="adj" fmla="val 4548"/>
          </a:avLst>
        </a:prstGeom>
        <a:solidFill>
          <a:srgbClr val="FFD100">
            <a:alpha val="28000"/>
          </a:srgbClr>
        </a:solidFill>
        <a:ln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242886</xdr:colOff>
      <xdr:row>3</xdr:row>
      <xdr:rowOff>166686</xdr:rowOff>
    </xdr:from>
    <xdr:to>
      <xdr:col>5</xdr:col>
      <xdr:colOff>509586</xdr:colOff>
      <xdr:row>5</xdr:row>
      <xdr:rowOff>61912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42886" y="738186"/>
          <a:ext cx="3314700" cy="276226"/>
        </a:xfrm>
        <a:prstGeom prst="roundRect">
          <a:avLst>
            <a:gd name="adj" fmla="val 25479"/>
          </a:avLst>
        </a:prstGeom>
        <a:solidFill>
          <a:srgbClr val="009530"/>
        </a:solidFill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400" b="1">
              <a:latin typeface="Arial" pitchFamily="34" charset="0"/>
              <a:cs typeface="Arial" pitchFamily="34" charset="0"/>
            </a:rPr>
            <a:t>Main Data</a:t>
          </a:r>
        </a:p>
      </xdr:txBody>
    </xdr:sp>
    <xdr:clientData/>
  </xdr:twoCellAnchor>
  <xdr:twoCellAnchor>
    <xdr:from>
      <xdr:col>6</xdr:col>
      <xdr:colOff>413716</xdr:colOff>
      <xdr:row>3</xdr:row>
      <xdr:rowOff>166686</xdr:rowOff>
    </xdr:from>
    <xdr:to>
      <xdr:col>12</xdr:col>
      <xdr:colOff>261730</xdr:colOff>
      <xdr:row>5</xdr:row>
      <xdr:rowOff>61912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071316" y="738186"/>
          <a:ext cx="3438939" cy="276226"/>
        </a:xfrm>
        <a:prstGeom prst="roundRect">
          <a:avLst>
            <a:gd name="adj" fmla="val 25479"/>
          </a:avLst>
        </a:prstGeom>
        <a:solidFill>
          <a:srgbClr val="009530"/>
        </a:solidFill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400" b="1">
              <a:latin typeface="Arial" pitchFamily="34" charset="0"/>
              <a:cs typeface="Arial" pitchFamily="34" charset="0"/>
            </a:rPr>
            <a:t>Results</a:t>
          </a:r>
        </a:p>
      </xdr:txBody>
    </xdr:sp>
    <xdr:clientData/>
  </xdr:twoCellAnchor>
  <xdr:twoCellAnchor editAs="oneCell">
    <xdr:from>
      <xdr:col>12</xdr:col>
      <xdr:colOff>447675</xdr:colOff>
      <xdr:row>0</xdr:row>
      <xdr:rowOff>171450</xdr:rowOff>
    </xdr:from>
    <xdr:to>
      <xdr:col>18</xdr:col>
      <xdr:colOff>266700</xdr:colOff>
      <xdr:row>18</xdr:row>
      <xdr:rowOff>39621</xdr:rowOff>
    </xdr:to>
    <xdr:pic>
      <xdr:nvPicPr>
        <xdr:cNvPr id="13" name="Image 2" descr="C:\Users\sesa375735\Documents\Schneider Electric\ATV_Regen\Visio\ATV_Regen_Sizing.gif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171450"/>
          <a:ext cx="3476625" cy="3382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552450</xdr:colOff>
      <xdr:row>3</xdr:row>
      <xdr:rowOff>161925</xdr:rowOff>
    </xdr:from>
    <xdr:to>
      <xdr:col>2</xdr:col>
      <xdr:colOff>180975</xdr:colOff>
      <xdr:row>5</xdr:row>
      <xdr:rowOff>19050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162050" y="733425"/>
          <a:ext cx="238125" cy="238125"/>
        </a:xfrm>
        <a:prstGeom prst="ellipse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8</xdr:col>
      <xdr:colOff>190500</xdr:colOff>
      <xdr:row>3</xdr:row>
      <xdr:rowOff>171450</xdr:rowOff>
    </xdr:from>
    <xdr:to>
      <xdr:col>8</xdr:col>
      <xdr:colOff>428625</xdr:colOff>
      <xdr:row>5</xdr:row>
      <xdr:rowOff>28575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5000625" y="742950"/>
          <a:ext cx="238125" cy="238125"/>
        </a:xfrm>
        <a:prstGeom prst="ellipse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95252</xdr:colOff>
      <xdr:row>0</xdr:row>
      <xdr:rowOff>85726</xdr:rowOff>
    </xdr:from>
    <xdr:to>
      <xdr:col>15</xdr:col>
      <xdr:colOff>142876</xdr:colOff>
      <xdr:row>22</xdr:row>
      <xdr:rowOff>142875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5252" y="85726"/>
          <a:ext cx="12372974" cy="4200524"/>
        </a:xfrm>
        <a:prstGeom prst="roundRect">
          <a:avLst>
            <a:gd name="adj" fmla="val 4548"/>
          </a:avLst>
        </a:prstGeom>
        <a:noFill/>
        <a:ln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257175</xdr:colOff>
      <xdr:row>0</xdr:row>
      <xdr:rowOff>171450</xdr:rowOff>
    </xdr:from>
    <xdr:to>
      <xdr:col>15</xdr:col>
      <xdr:colOff>47625</xdr:colOff>
      <xdr:row>3</xdr:row>
      <xdr:rowOff>9525</xdr:rowOff>
    </xdr:to>
    <xdr:sp macro="" textlink="">
      <xdr:nvSpPr>
        <xdr:cNvPr id="5" name="Rounded Rectangle 1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57175" y="171450"/>
          <a:ext cx="11868150" cy="381000"/>
        </a:xfrm>
        <a:prstGeom prst="roundRect">
          <a:avLst>
            <a:gd name="adj" fmla="val 25479"/>
          </a:avLst>
        </a:prstGeom>
        <a:solidFill>
          <a:srgbClr val="009530"/>
        </a:solidFill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400" b="1">
              <a:solidFill>
                <a:schemeClr val="lt1"/>
              </a:solidFill>
              <a:latin typeface="Arial" pitchFamily="34" charset="0"/>
              <a:ea typeface="+mn-ea"/>
              <a:cs typeface="Arial" pitchFamily="34" charset="0"/>
            </a:rPr>
            <a:t>Altivar</a:t>
          </a:r>
          <a:r>
            <a:rPr lang="en-US" sz="14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400" b="1">
              <a:solidFill>
                <a:schemeClr val="lt1"/>
              </a:solidFill>
              <a:latin typeface="Arial" pitchFamily="34" charset="0"/>
              <a:ea typeface="+mn-ea"/>
              <a:cs typeface="Arial" pitchFamily="34" charset="0"/>
            </a:rPr>
            <a:t>Regenerative</a:t>
          </a:r>
          <a:r>
            <a:rPr lang="en-US" sz="14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400" b="1">
              <a:solidFill>
                <a:schemeClr val="lt1"/>
              </a:solidFill>
              <a:latin typeface="Arial" pitchFamily="34" charset="0"/>
              <a:ea typeface="+mn-ea"/>
              <a:cs typeface="Arial" pitchFamily="34" charset="0"/>
            </a:rPr>
            <a:t>Unit Sizing Tool: </a:t>
          </a:r>
          <a:r>
            <a:rPr lang="en-US" sz="1800" b="1">
              <a:latin typeface="Arial" pitchFamily="34" charset="0"/>
              <a:cs typeface="Arial" pitchFamily="34" charset="0"/>
            </a:rPr>
            <a:t>Centrifugal</a:t>
          </a:r>
          <a:r>
            <a:rPr lang="en-US" sz="1800" b="1" baseline="0">
              <a:latin typeface="Arial" pitchFamily="34" charset="0"/>
              <a:cs typeface="Arial" pitchFamily="34" charset="0"/>
            </a:rPr>
            <a:t> Application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390525</xdr:colOff>
      <xdr:row>0</xdr:row>
      <xdr:rowOff>171450</xdr:rowOff>
    </xdr:from>
    <xdr:to>
      <xdr:col>1</xdr:col>
      <xdr:colOff>1238250</xdr:colOff>
      <xdr:row>2</xdr:row>
      <xdr:rowOff>167775</xdr:rowOff>
    </xdr:to>
    <xdr:pic>
      <xdr:nvPicPr>
        <xdr:cNvPr id="6" name="Picture 62" descr="Logo_SE_White.eps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171450"/>
          <a:ext cx="1238250" cy="358275"/>
        </a:xfrm>
        <a:prstGeom prst="rect">
          <a:avLst/>
        </a:prstGeom>
      </xdr:spPr>
    </xdr:pic>
    <xdr:clientData/>
  </xdr:twoCellAnchor>
  <xdr:twoCellAnchor>
    <xdr:from>
      <xdr:col>0</xdr:col>
      <xdr:colOff>247650</xdr:colOff>
      <xdr:row>3</xdr:row>
      <xdr:rowOff>104775</xdr:rowOff>
    </xdr:from>
    <xdr:to>
      <xdr:col>4</xdr:col>
      <xdr:colOff>0</xdr:colOff>
      <xdr:row>4</xdr:row>
      <xdr:rowOff>174079</xdr:rowOff>
    </xdr:to>
    <xdr:sp macro="" textlink="">
      <xdr:nvSpPr>
        <xdr:cNvPr id="7" name="Rounded Rectangle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47650" y="647700"/>
          <a:ext cx="2819400" cy="250279"/>
        </a:xfrm>
        <a:prstGeom prst="roundRect">
          <a:avLst>
            <a:gd name="adj" fmla="val 25479"/>
          </a:avLst>
        </a:prstGeom>
        <a:solidFill>
          <a:srgbClr val="009530"/>
        </a:solidFill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latin typeface="Arial" pitchFamily="34" charset="0"/>
              <a:cs typeface="Arial" pitchFamily="34" charset="0"/>
            </a:rPr>
            <a:t>Main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Data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209550</xdr:colOff>
      <xdr:row>5</xdr:row>
      <xdr:rowOff>133350</xdr:rowOff>
    </xdr:from>
    <xdr:to>
      <xdr:col>4</xdr:col>
      <xdr:colOff>57150</xdr:colOff>
      <xdr:row>22</xdr:row>
      <xdr:rowOff>66675</xdr:rowOff>
    </xdr:to>
    <xdr:sp macro="" textlink="">
      <xdr:nvSpPr>
        <xdr:cNvPr id="8" name="Rounded Rectangl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09550" y="1038225"/>
          <a:ext cx="2876550" cy="3171825"/>
        </a:xfrm>
        <a:prstGeom prst="roundRect">
          <a:avLst>
            <a:gd name="adj" fmla="val 4548"/>
          </a:avLst>
        </a:prstGeom>
        <a:noFill/>
        <a:ln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212609</xdr:colOff>
      <xdr:row>5</xdr:row>
      <xdr:rowOff>115495</xdr:rowOff>
    </xdr:from>
    <xdr:to>
      <xdr:col>9</xdr:col>
      <xdr:colOff>104371</xdr:colOff>
      <xdr:row>13</xdr:row>
      <xdr:rowOff>76200</xdr:rowOff>
    </xdr:to>
    <xdr:sp macro="" textlink="">
      <xdr:nvSpPr>
        <xdr:cNvPr id="9" name="Rounded Rectangl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241559" y="1020370"/>
          <a:ext cx="2968337" cy="1484705"/>
        </a:xfrm>
        <a:prstGeom prst="roundRect">
          <a:avLst>
            <a:gd name="adj" fmla="val 4548"/>
          </a:avLst>
        </a:prstGeom>
        <a:solidFill>
          <a:srgbClr val="FFD100">
            <a:alpha val="28000"/>
          </a:srgbClr>
        </a:solidFill>
        <a:ln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235196</xdr:colOff>
      <xdr:row>3</xdr:row>
      <xdr:rowOff>104775</xdr:rowOff>
    </xdr:from>
    <xdr:to>
      <xdr:col>9</xdr:col>
      <xdr:colOff>27110</xdr:colOff>
      <xdr:row>4</xdr:row>
      <xdr:rowOff>161924</xdr:rowOff>
    </xdr:to>
    <xdr:sp macro="" textlink="">
      <xdr:nvSpPr>
        <xdr:cNvPr id="11" name="Rounded Rectangle 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302246" y="647700"/>
          <a:ext cx="2849439" cy="238124"/>
        </a:xfrm>
        <a:prstGeom prst="roundRect">
          <a:avLst>
            <a:gd name="adj" fmla="val 25479"/>
          </a:avLst>
        </a:prstGeom>
        <a:solidFill>
          <a:srgbClr val="009530"/>
        </a:solidFill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 baseline="0">
              <a:latin typeface="Arial" pitchFamily="34" charset="0"/>
              <a:cs typeface="Arial" pitchFamily="34" charset="0"/>
            </a:rPr>
            <a:t>Maximum Consumption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300073</xdr:colOff>
      <xdr:row>3</xdr:row>
      <xdr:rowOff>114300</xdr:rowOff>
    </xdr:from>
    <xdr:to>
      <xdr:col>12</xdr:col>
      <xdr:colOff>51954</xdr:colOff>
      <xdr:row>5</xdr:row>
      <xdr:rowOff>28575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405598" y="657225"/>
          <a:ext cx="3171356" cy="276225"/>
        </a:xfrm>
        <a:prstGeom prst="roundRect">
          <a:avLst>
            <a:gd name="adj" fmla="val 25479"/>
          </a:avLst>
        </a:prstGeom>
        <a:solidFill>
          <a:srgbClr val="009530"/>
        </a:solidFill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 baseline="0">
              <a:latin typeface="Arial" pitchFamily="34" charset="0"/>
              <a:cs typeface="Arial" pitchFamily="34" charset="0"/>
            </a:rPr>
            <a:t>Energy Saving</a:t>
          </a:r>
        </a:p>
      </xdr:txBody>
    </xdr:sp>
    <xdr:clientData/>
  </xdr:twoCellAnchor>
  <xdr:twoCellAnchor>
    <xdr:from>
      <xdr:col>12</xdr:col>
      <xdr:colOff>191167</xdr:colOff>
      <xdr:row>3</xdr:row>
      <xdr:rowOff>124501</xdr:rowOff>
    </xdr:from>
    <xdr:to>
      <xdr:col>15</xdr:col>
      <xdr:colOff>38100</xdr:colOff>
      <xdr:row>5</xdr:row>
      <xdr:rowOff>16196</xdr:rowOff>
    </xdr:to>
    <xdr:sp macro="" textlink="">
      <xdr:nvSpPr>
        <xdr:cNvPr id="13" name="Rounded Rectangle 9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9697117" y="667426"/>
          <a:ext cx="2666333" cy="253645"/>
        </a:xfrm>
        <a:prstGeom prst="roundRect">
          <a:avLst>
            <a:gd name="adj" fmla="val 25479"/>
          </a:avLst>
        </a:prstGeom>
        <a:solidFill>
          <a:srgbClr val="009530"/>
        </a:solidFill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 baseline="0">
              <a:latin typeface="Arial" pitchFamily="34" charset="0"/>
              <a:cs typeface="Arial" pitchFamily="34" charset="0"/>
            </a:rPr>
            <a:t>Return On Investment</a:t>
          </a:r>
        </a:p>
      </xdr:txBody>
    </xdr:sp>
    <xdr:clientData/>
  </xdr:twoCellAnchor>
  <xdr:twoCellAnchor>
    <xdr:from>
      <xdr:col>4</xdr:col>
      <xdr:colOff>212481</xdr:colOff>
      <xdr:row>14</xdr:row>
      <xdr:rowOff>12341</xdr:rowOff>
    </xdr:from>
    <xdr:to>
      <xdr:col>9</xdr:col>
      <xdr:colOff>85725</xdr:colOff>
      <xdr:row>15</xdr:row>
      <xdr:rowOff>65693</xdr:rowOff>
    </xdr:to>
    <xdr:sp macro="" textlink="">
      <xdr:nvSpPr>
        <xdr:cNvPr id="12" name="Rounded Rectangle 9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244606" y="2639654"/>
          <a:ext cx="2952994" cy="243852"/>
        </a:xfrm>
        <a:prstGeom prst="roundRect">
          <a:avLst>
            <a:gd name="adj" fmla="val 25479"/>
          </a:avLst>
        </a:prstGeom>
        <a:solidFill>
          <a:srgbClr val="009530"/>
        </a:solidFill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 baseline="0">
              <a:latin typeface="Arial" pitchFamily="34" charset="0"/>
              <a:cs typeface="Arial" pitchFamily="34" charset="0"/>
            </a:rPr>
            <a:t>Consumption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295741</xdr:colOff>
      <xdr:row>8</xdr:row>
      <xdr:rowOff>161925</xdr:rowOff>
    </xdr:from>
    <xdr:to>
      <xdr:col>12</xdr:col>
      <xdr:colOff>28575</xdr:colOff>
      <xdr:row>11</xdr:row>
      <xdr:rowOff>26844</xdr:rowOff>
    </xdr:to>
    <xdr:sp macro="" textlink="">
      <xdr:nvSpPr>
        <xdr:cNvPr id="14" name="Rounded Rectangle 9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6401266" y="1628775"/>
          <a:ext cx="3152309" cy="445944"/>
        </a:xfrm>
        <a:prstGeom prst="roundRect">
          <a:avLst>
            <a:gd name="adj" fmla="val 25479"/>
          </a:avLst>
        </a:prstGeom>
        <a:noFill/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7796</xdr:rowOff>
    </xdr:from>
    <xdr:to>
      <xdr:col>12</xdr:col>
      <xdr:colOff>38101</xdr:colOff>
      <xdr:row>15</xdr:row>
      <xdr:rowOff>119498</xdr:rowOff>
    </xdr:to>
    <xdr:sp macro="" textlink="">
      <xdr:nvSpPr>
        <xdr:cNvPr id="15" name="Rounded Rectangle 9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6429375" y="2617646"/>
          <a:ext cx="3152776" cy="302202"/>
        </a:xfrm>
        <a:prstGeom prst="roundRect">
          <a:avLst>
            <a:gd name="adj" fmla="val 25479"/>
          </a:avLst>
        </a:prstGeom>
        <a:solidFill>
          <a:srgbClr val="009530"/>
        </a:solidFill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 u="sng" baseline="0">
              <a:latin typeface="Arial" pitchFamily="34" charset="0"/>
              <a:cs typeface="Arial" pitchFamily="34" charset="0"/>
            </a:rPr>
            <a:t>Regenerative Unit(s) to order</a:t>
          </a:r>
        </a:p>
      </xdr:txBody>
    </xdr:sp>
    <xdr:clientData/>
  </xdr:twoCellAnchor>
  <xdr:twoCellAnchor>
    <xdr:from>
      <xdr:col>9</xdr:col>
      <xdr:colOff>291413</xdr:colOff>
      <xdr:row>11</xdr:row>
      <xdr:rowOff>161926</xdr:rowOff>
    </xdr:from>
    <xdr:to>
      <xdr:col>12</xdr:col>
      <xdr:colOff>12990</xdr:colOff>
      <xdr:row>13</xdr:row>
      <xdr:rowOff>28576</xdr:rowOff>
    </xdr:to>
    <xdr:sp macro="" textlink="">
      <xdr:nvSpPr>
        <xdr:cNvPr id="16" name="Rounded Rectangle 9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6396938" y="2209801"/>
          <a:ext cx="3141052" cy="247650"/>
        </a:xfrm>
        <a:prstGeom prst="roundRect">
          <a:avLst>
            <a:gd name="adj" fmla="val 25479"/>
          </a:avLst>
        </a:prstGeom>
        <a:noFill/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209550</xdr:colOff>
      <xdr:row>9</xdr:row>
      <xdr:rowOff>161925</xdr:rowOff>
    </xdr:from>
    <xdr:to>
      <xdr:col>15</xdr:col>
      <xdr:colOff>28575</xdr:colOff>
      <xdr:row>14</xdr:row>
      <xdr:rowOff>38100</xdr:rowOff>
    </xdr:to>
    <xdr:sp macro="" textlink="">
      <xdr:nvSpPr>
        <xdr:cNvPr id="17" name="Rounded Rectangle 9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9734550" y="1819275"/>
          <a:ext cx="2638425" cy="838200"/>
        </a:xfrm>
        <a:prstGeom prst="roundRect">
          <a:avLst>
            <a:gd name="adj" fmla="val 25479"/>
          </a:avLst>
        </a:prstGeom>
        <a:noFill/>
        <a:ln w="7620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203085</xdr:colOff>
      <xdr:row>15</xdr:row>
      <xdr:rowOff>144937</xdr:rowOff>
    </xdr:from>
    <xdr:to>
      <xdr:col>9</xdr:col>
      <xdr:colOff>124288</xdr:colOff>
      <xdr:row>22</xdr:row>
      <xdr:rowOff>47625</xdr:rowOff>
    </xdr:to>
    <xdr:sp macro="" textlink="">
      <xdr:nvSpPr>
        <xdr:cNvPr id="18" name="Rounded Rectangl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3232035" y="2954812"/>
          <a:ext cx="2997778" cy="1236188"/>
        </a:xfrm>
        <a:prstGeom prst="roundRect">
          <a:avLst>
            <a:gd name="adj" fmla="val 4548"/>
          </a:avLst>
        </a:prstGeom>
        <a:solidFill>
          <a:srgbClr val="FFD100">
            <a:alpha val="28000"/>
          </a:srgbClr>
        </a:solidFill>
        <a:ln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266700</xdr:colOff>
      <xdr:row>16</xdr:row>
      <xdr:rowOff>107702</xdr:rowOff>
    </xdr:from>
    <xdr:to>
      <xdr:col>12</xdr:col>
      <xdr:colOff>38100</xdr:colOff>
      <xdr:row>21</xdr:row>
      <xdr:rowOff>40698</xdr:rowOff>
    </xdr:to>
    <xdr:sp macro="" textlink="">
      <xdr:nvSpPr>
        <xdr:cNvPr id="19" name="Rounded Rectangl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6372225" y="3108077"/>
          <a:ext cx="3190875" cy="885496"/>
        </a:xfrm>
        <a:prstGeom prst="roundRect">
          <a:avLst>
            <a:gd name="adj" fmla="val 4548"/>
          </a:avLst>
        </a:prstGeom>
        <a:solidFill>
          <a:srgbClr val="FFD100">
            <a:alpha val="28000"/>
          </a:srgbClr>
        </a:solidFill>
        <a:ln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13</xdr:col>
      <xdr:colOff>476250</xdr:colOff>
      <xdr:row>15</xdr:row>
      <xdr:rowOff>19050</xdr:rowOff>
    </xdr:from>
    <xdr:to>
      <xdr:col>13</xdr:col>
      <xdr:colOff>1118008</xdr:colOff>
      <xdr:row>18</xdr:row>
      <xdr:rowOff>42105</xdr:rowOff>
    </xdr:to>
    <xdr:pic>
      <xdr:nvPicPr>
        <xdr:cNvPr id="24" name="Picture 61" descr="EE_label_01.emf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220325" y="2819400"/>
          <a:ext cx="641758" cy="594555"/>
        </a:xfrm>
        <a:prstGeom prst="rect">
          <a:avLst/>
        </a:prstGeom>
      </xdr:spPr>
    </xdr:pic>
    <xdr:clientData/>
  </xdr:twoCellAnchor>
  <xdr:twoCellAnchor editAs="oneCell">
    <xdr:from>
      <xdr:col>13</xdr:col>
      <xdr:colOff>1762126</xdr:colOff>
      <xdr:row>15</xdr:row>
      <xdr:rowOff>36440</xdr:rowOff>
    </xdr:from>
    <xdr:to>
      <xdr:col>14</xdr:col>
      <xdr:colOff>471007</xdr:colOff>
      <xdr:row>17</xdr:row>
      <xdr:rowOff>184980</xdr:rowOff>
    </xdr:to>
    <xdr:pic>
      <xdr:nvPicPr>
        <xdr:cNvPr id="25" name="Picture 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506201" y="2836790"/>
          <a:ext cx="594831" cy="529540"/>
        </a:xfrm>
        <a:prstGeom prst="rect">
          <a:avLst/>
        </a:prstGeom>
        <a:noFill/>
      </xdr:spPr>
    </xdr:pic>
    <xdr:clientData/>
  </xdr:twoCellAnchor>
  <xdr:twoCellAnchor>
    <xdr:from>
      <xdr:col>3</xdr:col>
      <xdr:colOff>228600</xdr:colOff>
      <xdr:row>3</xdr:row>
      <xdr:rowOff>104775</xdr:rowOff>
    </xdr:from>
    <xdr:to>
      <xdr:col>3</xdr:col>
      <xdr:colOff>466725</xdr:colOff>
      <xdr:row>4</xdr:row>
      <xdr:rowOff>161925</xdr:rowOff>
    </xdr:to>
    <xdr:sp macro="" textlink="">
      <xdr:nvSpPr>
        <xdr:cNvPr id="20" name="Ellips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543175" y="647700"/>
          <a:ext cx="238125" cy="238125"/>
        </a:xfrm>
        <a:prstGeom prst="ellipse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11</xdr:col>
      <xdr:colOff>247650</xdr:colOff>
      <xdr:row>3</xdr:row>
      <xdr:rowOff>123825</xdr:rowOff>
    </xdr:from>
    <xdr:to>
      <xdr:col>11</xdr:col>
      <xdr:colOff>485775</xdr:colOff>
      <xdr:row>5</xdr:row>
      <xdr:rowOff>0</xdr:rowOff>
    </xdr:to>
    <xdr:sp macro="" textlink="">
      <xdr:nvSpPr>
        <xdr:cNvPr id="21" name="Ellips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9115425" y="666750"/>
          <a:ext cx="238125" cy="238125"/>
        </a:xfrm>
        <a:prstGeom prst="ellipse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14</xdr:col>
      <xdr:colOff>342901</xdr:colOff>
      <xdr:row>3</xdr:row>
      <xdr:rowOff>119063</xdr:rowOff>
    </xdr:from>
    <xdr:to>
      <xdr:col>14</xdr:col>
      <xdr:colOff>579438</xdr:colOff>
      <xdr:row>4</xdr:row>
      <xdr:rowOff>176213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1991976" y="661988"/>
          <a:ext cx="236537" cy="238125"/>
        </a:xfrm>
        <a:prstGeom prst="ellipse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319123</xdr:colOff>
      <xdr:row>14</xdr:row>
      <xdr:rowOff>38100</xdr:rowOff>
    </xdr:from>
    <xdr:to>
      <xdr:col>11</xdr:col>
      <xdr:colOff>557248</xdr:colOff>
      <xdr:row>15</xdr:row>
      <xdr:rowOff>85725</xdr:rowOff>
    </xdr:to>
    <xdr:sp macro="" textlink="">
      <xdr:nvSpPr>
        <xdr:cNvPr id="27" name="Ellips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9186898" y="2657475"/>
          <a:ext cx="238125" cy="238125"/>
        </a:xfrm>
        <a:prstGeom prst="ellipse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xdr:twoCellAnchor>
    <xdr:from>
      <xdr:col>13</xdr:col>
      <xdr:colOff>71473</xdr:colOff>
      <xdr:row>10</xdr:row>
      <xdr:rowOff>76200</xdr:rowOff>
    </xdr:from>
    <xdr:to>
      <xdr:col>13</xdr:col>
      <xdr:colOff>309598</xdr:colOff>
      <xdr:row>11</xdr:row>
      <xdr:rowOff>114300</xdr:rowOff>
    </xdr:to>
    <xdr:sp macro="" textlink="">
      <xdr:nvSpPr>
        <xdr:cNvPr id="32" name="Ellipse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9834598" y="1924050"/>
          <a:ext cx="238125" cy="238125"/>
        </a:xfrm>
        <a:prstGeom prst="ellipse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262973</xdr:colOff>
      <xdr:row>4</xdr:row>
      <xdr:rowOff>141253</xdr:rowOff>
    </xdr:from>
    <xdr:to>
      <xdr:col>12</xdr:col>
      <xdr:colOff>76200</xdr:colOff>
      <xdr:row>9</xdr:row>
      <xdr:rowOff>74578</xdr:rowOff>
    </xdr:to>
    <xdr:sp macro="" textlink="">
      <xdr:nvSpPr>
        <xdr:cNvPr id="24" name="Rounded Rectangle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9006923" y="865153"/>
          <a:ext cx="3185077" cy="876300"/>
        </a:xfrm>
        <a:prstGeom prst="roundRect">
          <a:avLst>
            <a:gd name="adj" fmla="val 4548"/>
          </a:avLst>
        </a:prstGeom>
        <a:solidFill>
          <a:srgbClr val="FFD100">
            <a:alpha val="28000"/>
          </a:srgbClr>
        </a:solidFill>
        <a:ln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95252</xdr:colOff>
      <xdr:row>0</xdr:row>
      <xdr:rowOff>57151</xdr:rowOff>
    </xdr:from>
    <xdr:to>
      <xdr:col>12</xdr:col>
      <xdr:colOff>158564</xdr:colOff>
      <xdr:row>22</xdr:row>
      <xdr:rowOff>152400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5252" y="57151"/>
          <a:ext cx="12179112" cy="4248149"/>
        </a:xfrm>
        <a:prstGeom prst="roundRect">
          <a:avLst>
            <a:gd name="adj" fmla="val 4548"/>
          </a:avLst>
        </a:prstGeom>
        <a:noFill/>
        <a:ln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2474</xdr:colOff>
      <xdr:row>0</xdr:row>
      <xdr:rowOff>161925</xdr:rowOff>
    </xdr:from>
    <xdr:to>
      <xdr:col>12</xdr:col>
      <xdr:colOff>41413</xdr:colOff>
      <xdr:row>2</xdr:row>
      <xdr:rowOff>66674</xdr:rowOff>
    </xdr:to>
    <xdr:sp macro="" textlink="">
      <xdr:nvSpPr>
        <xdr:cNvPr id="3" name="Rounded Rectangle 1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1549" y="161925"/>
          <a:ext cx="11878514" cy="266699"/>
        </a:xfrm>
        <a:prstGeom prst="roundRect">
          <a:avLst>
            <a:gd name="adj" fmla="val 25479"/>
          </a:avLst>
        </a:prstGeom>
        <a:solidFill>
          <a:srgbClr val="009530"/>
        </a:solidFill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400" b="1">
              <a:latin typeface="Arial" pitchFamily="34" charset="0"/>
              <a:cs typeface="Arial" pitchFamily="34" charset="0"/>
            </a:rPr>
            <a:t>Altivar Regenerative Unit Sizing Tool:</a:t>
          </a:r>
          <a:r>
            <a:rPr lang="en-US" sz="1600" b="1" baseline="0">
              <a:latin typeface="Arial" pitchFamily="34" charset="0"/>
              <a:cs typeface="Arial" pitchFamily="34" charset="0"/>
            </a:rPr>
            <a:t> </a:t>
          </a:r>
          <a:r>
            <a:rPr lang="en-US" sz="1600" b="1">
              <a:latin typeface="Arial" pitchFamily="34" charset="0"/>
              <a:cs typeface="Arial" pitchFamily="34" charset="0"/>
            </a:rPr>
            <a:t>Hoisting</a:t>
          </a:r>
          <a:r>
            <a:rPr lang="en-US" sz="1600" b="1" baseline="0">
              <a:latin typeface="Arial" pitchFamily="34" charset="0"/>
              <a:cs typeface="Arial" pitchFamily="34" charset="0"/>
            </a:rPr>
            <a:t> Application </a:t>
          </a:r>
          <a:endParaRPr lang="en-US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99375</xdr:colOff>
      <xdr:row>0</xdr:row>
      <xdr:rowOff>154470</xdr:rowOff>
    </xdr:from>
    <xdr:to>
      <xdr:col>1</xdr:col>
      <xdr:colOff>1106711</xdr:colOff>
      <xdr:row>2</xdr:row>
      <xdr:rowOff>76199</xdr:rowOff>
    </xdr:to>
    <xdr:pic>
      <xdr:nvPicPr>
        <xdr:cNvPr id="4" name="Picture 62" descr="Logo_SE_White.eps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8450" y="154470"/>
          <a:ext cx="1007336" cy="283679"/>
        </a:xfrm>
        <a:prstGeom prst="rect">
          <a:avLst/>
        </a:prstGeom>
      </xdr:spPr>
    </xdr:pic>
    <xdr:clientData/>
  </xdr:twoCellAnchor>
  <xdr:twoCellAnchor editAs="oneCell">
    <xdr:from>
      <xdr:col>11</xdr:col>
      <xdr:colOff>241455</xdr:colOff>
      <xdr:row>0</xdr:row>
      <xdr:rowOff>158361</xdr:rowOff>
    </xdr:from>
    <xdr:to>
      <xdr:col>11</xdr:col>
      <xdr:colOff>449883</xdr:colOff>
      <xdr:row>2</xdr:row>
      <xdr:rowOff>76200</xdr:rowOff>
    </xdr:to>
    <xdr:pic>
      <xdr:nvPicPr>
        <xdr:cNvPr id="5" name="Picture 17" descr="SE_pictogram_Hoisting.em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lum bright="100000"/>
        </a:blip>
        <a:stretch>
          <a:fillRect/>
        </a:stretch>
      </xdr:blipFill>
      <xdr:spPr>
        <a:xfrm>
          <a:off x="11557155" y="158361"/>
          <a:ext cx="208428" cy="279789"/>
        </a:xfrm>
        <a:prstGeom prst="rect">
          <a:avLst/>
        </a:prstGeom>
      </xdr:spPr>
    </xdr:pic>
    <xdr:clientData/>
  </xdr:twoCellAnchor>
  <xdr:twoCellAnchor>
    <xdr:from>
      <xdr:col>0</xdr:col>
      <xdr:colOff>202904</xdr:colOff>
      <xdr:row>2</xdr:row>
      <xdr:rowOff>171450</xdr:rowOff>
    </xdr:from>
    <xdr:to>
      <xdr:col>3</xdr:col>
      <xdr:colOff>131960</xdr:colOff>
      <xdr:row>4</xdr:row>
      <xdr:rowOff>59779</xdr:rowOff>
    </xdr:to>
    <xdr:sp macro="" textlink="">
      <xdr:nvSpPr>
        <xdr:cNvPr id="6" name="Rounded Rectangle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02904" y="533400"/>
          <a:ext cx="2557956" cy="250279"/>
        </a:xfrm>
        <a:prstGeom prst="roundRect">
          <a:avLst>
            <a:gd name="adj" fmla="val 25479"/>
          </a:avLst>
        </a:prstGeom>
        <a:solidFill>
          <a:srgbClr val="009530"/>
        </a:solidFill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latin typeface="Arial" pitchFamily="34" charset="0"/>
              <a:cs typeface="Arial" pitchFamily="34" charset="0"/>
            </a:rPr>
            <a:t>Main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Data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200037</xdr:colOff>
      <xdr:row>4</xdr:row>
      <xdr:rowOff>122203</xdr:rowOff>
    </xdr:from>
    <xdr:to>
      <xdr:col>3</xdr:col>
      <xdr:colOff>134827</xdr:colOff>
      <xdr:row>22</xdr:row>
      <xdr:rowOff>66675</xdr:rowOff>
    </xdr:to>
    <xdr:sp macro="" textlink="">
      <xdr:nvSpPr>
        <xdr:cNvPr id="7" name="Rounded Rectangle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00037" y="846103"/>
          <a:ext cx="2563690" cy="3373472"/>
        </a:xfrm>
        <a:prstGeom prst="roundRect">
          <a:avLst>
            <a:gd name="adj" fmla="val 4548"/>
          </a:avLst>
        </a:prstGeom>
        <a:noFill/>
        <a:ln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280707</xdr:colOff>
      <xdr:row>11</xdr:row>
      <xdr:rowOff>59450</xdr:rowOff>
    </xdr:from>
    <xdr:to>
      <xdr:col>6</xdr:col>
      <xdr:colOff>39414</xdr:colOff>
      <xdr:row>12</xdr:row>
      <xdr:rowOff>124812</xdr:rowOff>
    </xdr:to>
    <xdr:sp macro="" textlink="">
      <xdr:nvSpPr>
        <xdr:cNvPr id="8" name="Rounded Rectangle 9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908293" y="2122105"/>
          <a:ext cx="2478259" cy="255862"/>
        </a:xfrm>
        <a:prstGeom prst="roundRect">
          <a:avLst>
            <a:gd name="adj" fmla="val 25479"/>
          </a:avLst>
        </a:prstGeom>
        <a:solidFill>
          <a:srgbClr val="009530"/>
        </a:solidFill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r"/>
          <a:r>
            <a:rPr lang="en-US" sz="1100" b="1">
              <a:latin typeface="Arial" pitchFamily="34" charset="0"/>
              <a:cs typeface="Arial" pitchFamily="34" charset="0"/>
            </a:rPr>
            <a:t>Maximum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</a:t>
          </a:r>
          <a:r>
            <a:rPr lang="en-US" sz="1100" b="1" baseline="0">
              <a:latin typeface="Arial" pitchFamily="34" charset="0"/>
              <a:cs typeface="Arial" pitchFamily="34" charset="0"/>
            </a:rPr>
            <a:t>Power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</a:t>
          </a:r>
          <a:r>
            <a:rPr lang="en-US" sz="1100" b="1" baseline="0">
              <a:latin typeface="Arial" pitchFamily="34" charset="0"/>
              <a:cs typeface="Arial" pitchFamily="34" charset="0"/>
            </a:rPr>
            <a:t>Consumption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150719</xdr:colOff>
      <xdr:row>2</xdr:row>
      <xdr:rowOff>167485</xdr:rowOff>
    </xdr:from>
    <xdr:to>
      <xdr:col>9</xdr:col>
      <xdr:colOff>77881</xdr:colOff>
      <xdr:row>4</xdr:row>
      <xdr:rowOff>52624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494244" y="529435"/>
          <a:ext cx="3327587" cy="247089"/>
        </a:xfrm>
        <a:prstGeom prst="roundRect">
          <a:avLst>
            <a:gd name="adj" fmla="val 25479"/>
          </a:avLst>
        </a:prstGeom>
        <a:solidFill>
          <a:srgbClr val="009530"/>
        </a:solidFill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 baseline="0">
              <a:latin typeface="Arial" pitchFamily="34" charset="0"/>
              <a:cs typeface="Arial" pitchFamily="34" charset="0"/>
            </a:rPr>
            <a:t>Consumption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161925</xdr:colOff>
      <xdr:row>4</xdr:row>
      <xdr:rowOff>131728</xdr:rowOff>
    </xdr:from>
    <xdr:to>
      <xdr:col>9</xdr:col>
      <xdr:colOff>85725</xdr:colOff>
      <xdr:row>13</xdr:row>
      <xdr:rowOff>40399</xdr:rowOff>
    </xdr:to>
    <xdr:sp macro="" textlink="">
      <xdr:nvSpPr>
        <xdr:cNvPr id="12" name="Rounded Rectangle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5505450" y="855628"/>
          <a:ext cx="3324225" cy="1613646"/>
        </a:xfrm>
        <a:prstGeom prst="roundRect">
          <a:avLst>
            <a:gd name="adj" fmla="val 4548"/>
          </a:avLst>
        </a:prstGeom>
        <a:solidFill>
          <a:srgbClr val="FFD100">
            <a:alpha val="28000"/>
          </a:srgbClr>
        </a:solidFill>
        <a:ln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257175</xdr:colOff>
      <xdr:row>13</xdr:row>
      <xdr:rowOff>114558</xdr:rowOff>
    </xdr:from>
    <xdr:to>
      <xdr:col>9</xdr:col>
      <xdr:colOff>66676</xdr:colOff>
      <xdr:row>14</xdr:row>
      <xdr:rowOff>152400</xdr:rowOff>
    </xdr:to>
    <xdr:sp macro="" textlink="">
      <xdr:nvSpPr>
        <xdr:cNvPr id="13" name="Rounded Rectangle 9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600700" y="2543433"/>
          <a:ext cx="3209926" cy="228342"/>
        </a:xfrm>
        <a:prstGeom prst="roundRect">
          <a:avLst>
            <a:gd name="adj" fmla="val 25479"/>
          </a:avLst>
        </a:prstGeom>
        <a:solidFill>
          <a:srgbClr val="009530"/>
        </a:solidFill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 baseline="0">
              <a:latin typeface="Arial" pitchFamily="34" charset="0"/>
              <a:cs typeface="Arial" pitchFamily="34" charset="0"/>
            </a:rPr>
            <a:t>Energy Savings</a:t>
          </a:r>
        </a:p>
      </xdr:txBody>
    </xdr:sp>
    <xdr:clientData/>
  </xdr:twoCellAnchor>
  <xdr:twoCellAnchor>
    <xdr:from>
      <xdr:col>3</xdr:col>
      <xdr:colOff>225644</xdr:colOff>
      <xdr:row>12</xdr:row>
      <xdr:rowOff>184863</xdr:rowOff>
    </xdr:from>
    <xdr:to>
      <xdr:col>6</xdr:col>
      <xdr:colOff>60530</xdr:colOff>
      <xdr:row>22</xdr:row>
      <xdr:rowOff>66675</xdr:rowOff>
    </xdr:to>
    <xdr:sp macro="" textlink="">
      <xdr:nvSpPr>
        <xdr:cNvPr id="16" name="Rounded Rectangle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2854544" y="2423238"/>
          <a:ext cx="2549511" cy="1786812"/>
        </a:xfrm>
        <a:prstGeom prst="roundRect">
          <a:avLst>
            <a:gd name="adj" fmla="val 4548"/>
          </a:avLst>
        </a:prstGeom>
        <a:solidFill>
          <a:srgbClr val="FFD100">
            <a:alpha val="28000"/>
          </a:srgbClr>
        </a:solidFill>
        <a:ln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276225</xdr:colOff>
      <xdr:row>9</xdr:row>
      <xdr:rowOff>161925</xdr:rowOff>
    </xdr:from>
    <xdr:to>
      <xdr:col>12</xdr:col>
      <xdr:colOff>57150</xdr:colOff>
      <xdr:row>11</xdr:row>
      <xdr:rowOff>114300</xdr:rowOff>
    </xdr:to>
    <xdr:sp macro="" textlink="">
      <xdr:nvSpPr>
        <xdr:cNvPr id="17" name="Rounded Rectangle 9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9020175" y="1828800"/>
          <a:ext cx="3152775" cy="333375"/>
        </a:xfrm>
        <a:prstGeom prst="roundRect">
          <a:avLst>
            <a:gd name="adj" fmla="val 25479"/>
          </a:avLst>
        </a:prstGeom>
        <a:solidFill>
          <a:srgbClr val="009530"/>
        </a:solidFill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 baseline="0">
              <a:latin typeface="Arial" pitchFamily="34" charset="0"/>
              <a:cs typeface="Arial" pitchFamily="34" charset="0"/>
            </a:rPr>
            <a:t>Return On Investment</a:t>
          </a:r>
        </a:p>
      </xdr:txBody>
    </xdr:sp>
    <xdr:clientData/>
  </xdr:twoCellAnchor>
  <xdr:twoCellAnchor editAs="oneCell">
    <xdr:from>
      <xdr:col>10</xdr:col>
      <xdr:colOff>781050</xdr:colOff>
      <xdr:row>18</xdr:row>
      <xdr:rowOff>96001</xdr:rowOff>
    </xdr:from>
    <xdr:to>
      <xdr:col>10</xdr:col>
      <xdr:colOff>1152525</xdr:colOff>
      <xdr:row>20</xdr:row>
      <xdr:rowOff>59153</xdr:rowOff>
    </xdr:to>
    <xdr:pic>
      <xdr:nvPicPr>
        <xdr:cNvPr id="18" name="Picture 61" descr="EE_label_01.emf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810750" y="3477376"/>
          <a:ext cx="371475" cy="344152"/>
        </a:xfrm>
        <a:prstGeom prst="rect">
          <a:avLst/>
        </a:prstGeom>
      </xdr:spPr>
    </xdr:pic>
    <xdr:clientData/>
  </xdr:twoCellAnchor>
  <xdr:twoCellAnchor editAs="oneCell">
    <xdr:from>
      <xdr:col>10</xdr:col>
      <xdr:colOff>1479871</xdr:colOff>
      <xdr:row>18</xdr:row>
      <xdr:rowOff>133349</xdr:rowOff>
    </xdr:from>
    <xdr:to>
      <xdr:col>10</xdr:col>
      <xdr:colOff>1800225</xdr:colOff>
      <xdr:row>20</xdr:row>
      <xdr:rowOff>37540</xdr:rowOff>
    </xdr:to>
    <xdr:pic>
      <xdr:nvPicPr>
        <xdr:cNvPr id="19" name="Picture 4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509571" y="3514724"/>
          <a:ext cx="320354" cy="285191"/>
        </a:xfrm>
        <a:prstGeom prst="rect">
          <a:avLst/>
        </a:prstGeom>
        <a:noFill/>
      </xdr:spPr>
    </xdr:pic>
    <xdr:clientData/>
  </xdr:twoCellAnchor>
  <xdr:twoCellAnchor>
    <xdr:from>
      <xdr:col>9</xdr:col>
      <xdr:colOff>266700</xdr:colOff>
      <xdr:row>15</xdr:row>
      <xdr:rowOff>161926</xdr:rowOff>
    </xdr:from>
    <xdr:to>
      <xdr:col>12</xdr:col>
      <xdr:colOff>28575</xdr:colOff>
      <xdr:row>18</xdr:row>
      <xdr:rowOff>28575</xdr:rowOff>
    </xdr:to>
    <xdr:sp macro="" textlink="">
      <xdr:nvSpPr>
        <xdr:cNvPr id="20" name="Rounded Rectangle 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9010650" y="2971801"/>
          <a:ext cx="3133725" cy="438149"/>
        </a:xfrm>
        <a:prstGeom prst="roundRect">
          <a:avLst>
            <a:gd name="adj" fmla="val 25479"/>
          </a:avLst>
        </a:prstGeom>
        <a:noFill/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276225</xdr:colOff>
      <xdr:row>2</xdr:row>
      <xdr:rowOff>163239</xdr:rowOff>
    </xdr:from>
    <xdr:to>
      <xdr:col>12</xdr:col>
      <xdr:colOff>38100</xdr:colOff>
      <xdr:row>4</xdr:row>
      <xdr:rowOff>67989</xdr:rowOff>
    </xdr:to>
    <xdr:sp macro="" textlink="">
      <xdr:nvSpPr>
        <xdr:cNvPr id="22" name="Rounded Rectangle 9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9020175" y="525189"/>
          <a:ext cx="3133725" cy="266700"/>
        </a:xfrm>
        <a:prstGeom prst="roundRect">
          <a:avLst>
            <a:gd name="adj" fmla="val 25479"/>
          </a:avLst>
        </a:prstGeom>
        <a:solidFill>
          <a:srgbClr val="009530"/>
        </a:solidFill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 u="sng" baseline="0">
              <a:latin typeface="Arial" pitchFamily="34" charset="0"/>
              <a:cs typeface="Arial" pitchFamily="34" charset="0"/>
            </a:rPr>
            <a:t>Regenerative Unit(s) to order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5</xdr:row>
          <xdr:rowOff>190500</xdr:rowOff>
        </xdr:from>
        <xdr:to>
          <xdr:col>1</xdr:col>
          <xdr:colOff>247650</xdr:colOff>
          <xdr:row>7</xdr:row>
          <xdr:rowOff>9525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1428750</xdr:colOff>
          <xdr:row>5</xdr:row>
          <xdr:rowOff>190500</xdr:rowOff>
        </xdr:from>
        <xdr:to>
          <xdr:col>1</xdr:col>
          <xdr:colOff>1638300</xdr:colOff>
          <xdr:row>7</xdr:row>
          <xdr:rowOff>9525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276226</xdr:colOff>
      <xdr:row>4</xdr:row>
      <xdr:rowOff>122203</xdr:rowOff>
    </xdr:from>
    <xdr:to>
      <xdr:col>6</xdr:col>
      <xdr:colOff>38101</xdr:colOff>
      <xdr:row>11</xdr:row>
      <xdr:rowOff>3141</xdr:rowOff>
    </xdr:to>
    <xdr:sp macro="" textlink="">
      <xdr:nvSpPr>
        <xdr:cNvPr id="25" name="Rounded Rectangle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2905126" y="846103"/>
          <a:ext cx="2476500" cy="1204913"/>
        </a:xfrm>
        <a:prstGeom prst="roundRect">
          <a:avLst>
            <a:gd name="adj" fmla="val 4548"/>
          </a:avLst>
        </a:prstGeom>
        <a:noFill/>
        <a:ln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25948</xdr:colOff>
      <xdr:row>2</xdr:row>
      <xdr:rowOff>171450</xdr:rowOff>
    </xdr:from>
    <xdr:to>
      <xdr:col>6</xdr:col>
      <xdr:colOff>2629</xdr:colOff>
      <xdr:row>4</xdr:row>
      <xdr:rowOff>59779</xdr:rowOff>
    </xdr:to>
    <xdr:sp macro="" textlink="">
      <xdr:nvSpPr>
        <xdr:cNvPr id="26" name="Rounded Rectangle 9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2940598" y="533400"/>
          <a:ext cx="2405556" cy="250279"/>
        </a:xfrm>
        <a:prstGeom prst="roundRect">
          <a:avLst>
            <a:gd name="adj" fmla="val 25479"/>
          </a:avLst>
        </a:prstGeom>
        <a:solidFill>
          <a:srgbClr val="009530"/>
        </a:solidFill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latin typeface="Arial" pitchFamily="34" charset="0"/>
              <a:cs typeface="Arial" pitchFamily="34" charset="0"/>
            </a:rPr>
            <a:t>Main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Data</a:t>
          </a:r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247650</xdr:colOff>
      <xdr:row>20</xdr:row>
      <xdr:rowOff>161925</xdr:rowOff>
    </xdr:from>
    <xdr:to>
      <xdr:col>9</xdr:col>
      <xdr:colOff>28575</xdr:colOff>
      <xdr:row>22</xdr:row>
      <xdr:rowOff>28575</xdr:rowOff>
    </xdr:to>
    <xdr:sp macro="" textlink="">
      <xdr:nvSpPr>
        <xdr:cNvPr id="27" name="Rounded Rectangle 9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5591175" y="3943350"/>
          <a:ext cx="3181350" cy="247650"/>
        </a:xfrm>
        <a:prstGeom prst="roundRect">
          <a:avLst>
            <a:gd name="adj" fmla="val 25479"/>
          </a:avLst>
        </a:prstGeom>
        <a:noFill/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247650</xdr:colOff>
      <xdr:row>17</xdr:row>
      <xdr:rowOff>180975</xdr:rowOff>
    </xdr:from>
    <xdr:to>
      <xdr:col>9</xdr:col>
      <xdr:colOff>28575</xdr:colOff>
      <xdr:row>20</xdr:row>
      <xdr:rowOff>28575</xdr:rowOff>
    </xdr:to>
    <xdr:sp macro="" textlink="">
      <xdr:nvSpPr>
        <xdr:cNvPr id="14" name="Rounded Rectangle 9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5591175" y="3371850"/>
          <a:ext cx="3181350" cy="419100"/>
        </a:xfrm>
        <a:prstGeom prst="roundRect">
          <a:avLst>
            <a:gd name="adj" fmla="val 25479"/>
          </a:avLst>
        </a:prstGeom>
        <a:noFill/>
        <a:ln w="57150">
          <a:solidFill>
            <a:srgbClr val="00953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r"/>
          <a:endParaRPr lang="en-US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333375</xdr:colOff>
      <xdr:row>2</xdr:row>
      <xdr:rowOff>171450</xdr:rowOff>
    </xdr:from>
    <xdr:to>
      <xdr:col>2</xdr:col>
      <xdr:colOff>571500</xdr:colOff>
      <xdr:row>4</xdr:row>
      <xdr:rowOff>47625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238375" y="533400"/>
          <a:ext cx="238125" cy="238125"/>
        </a:xfrm>
        <a:prstGeom prst="ellipse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latin typeface="Arial" panose="020B0604020202020204" pitchFamily="34" charset="0"/>
              <a:cs typeface="Arial" panose="020B0604020202020204" pitchFamily="34" charset="0"/>
            </a:rPr>
            <a:t>1c</a:t>
          </a:r>
        </a:p>
      </xdr:txBody>
    </xdr:sp>
    <xdr:clientData/>
  </xdr:twoCellAnchor>
  <xdr:twoCellAnchor>
    <xdr:from>
      <xdr:col>5</xdr:col>
      <xdr:colOff>304800</xdr:colOff>
      <xdr:row>2</xdr:row>
      <xdr:rowOff>171450</xdr:rowOff>
    </xdr:from>
    <xdr:to>
      <xdr:col>5</xdr:col>
      <xdr:colOff>542925</xdr:colOff>
      <xdr:row>4</xdr:row>
      <xdr:rowOff>47625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4953000" y="533400"/>
          <a:ext cx="238125" cy="238125"/>
        </a:xfrm>
        <a:prstGeom prst="ellipse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8</xdr:col>
      <xdr:colOff>428625</xdr:colOff>
      <xdr:row>13</xdr:row>
      <xdr:rowOff>104775</xdr:rowOff>
    </xdr:from>
    <xdr:to>
      <xdr:col>8</xdr:col>
      <xdr:colOff>666750</xdr:colOff>
      <xdr:row>14</xdr:row>
      <xdr:rowOff>152400</xdr:rowOff>
    </xdr:to>
    <xdr:sp macro="" textlink="">
      <xdr:nvSpPr>
        <xdr:cNvPr id="29" name="Ellipse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8467725" y="2533650"/>
          <a:ext cx="238125" cy="238125"/>
        </a:xfrm>
        <a:prstGeom prst="ellipse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xdr:twoCellAnchor>
    <xdr:from>
      <xdr:col>10</xdr:col>
      <xdr:colOff>176213</xdr:colOff>
      <xdr:row>16</xdr:row>
      <xdr:rowOff>61913</xdr:rowOff>
    </xdr:from>
    <xdr:to>
      <xdr:col>10</xdr:col>
      <xdr:colOff>414338</xdr:colOff>
      <xdr:row>17</xdr:row>
      <xdr:rowOff>109538</xdr:rowOff>
    </xdr:to>
    <xdr:sp macro="" textlink="">
      <xdr:nvSpPr>
        <xdr:cNvPr id="33" name="Ellipse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9205913" y="3062288"/>
          <a:ext cx="238125" cy="238125"/>
        </a:xfrm>
        <a:prstGeom prst="ellipse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xdr:twoCellAnchor>
    <xdr:from>
      <xdr:col>10</xdr:col>
      <xdr:colOff>128588</xdr:colOff>
      <xdr:row>2</xdr:row>
      <xdr:rowOff>166688</xdr:rowOff>
    </xdr:from>
    <xdr:to>
      <xdr:col>10</xdr:col>
      <xdr:colOff>366713</xdr:colOff>
      <xdr:row>4</xdr:row>
      <xdr:rowOff>42863</xdr:rowOff>
    </xdr:to>
    <xdr:sp macro="" textlink="">
      <xdr:nvSpPr>
        <xdr:cNvPr id="35" name="Ellipse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9158288" y="528638"/>
          <a:ext cx="238125" cy="238125"/>
        </a:xfrm>
        <a:prstGeom prst="ellipse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285750</xdr:colOff>
      <xdr:row>10</xdr:row>
      <xdr:rowOff>9525</xdr:rowOff>
    </xdr:from>
    <xdr:to>
      <xdr:col>11</xdr:col>
      <xdr:colOff>523875</xdr:colOff>
      <xdr:row>11</xdr:row>
      <xdr:rowOff>57150</xdr:rowOff>
    </xdr:to>
    <xdr:sp macro="" textlink="">
      <xdr:nvSpPr>
        <xdr:cNvPr id="36" name="Ellipse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1658600" y="1866900"/>
          <a:ext cx="238125" cy="238125"/>
        </a:xfrm>
        <a:prstGeom prst="ellipse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9</xdr:col>
      <xdr:colOff>171450</xdr:colOff>
      <xdr:row>20</xdr:row>
      <xdr:rowOff>66675</xdr:rowOff>
    </xdr:from>
    <xdr:to>
      <xdr:col>10</xdr:col>
      <xdr:colOff>2333626</xdr:colOff>
      <xdr:row>22</xdr:row>
      <xdr:rowOff>133350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15400" y="3829050"/>
          <a:ext cx="2447926" cy="44767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aseline="30000">
              <a:solidFill>
                <a:srgbClr val="626469"/>
              </a:solidFill>
              <a:latin typeface="Arial" panose="020B0604020202020204" pitchFamily="34" charset="0"/>
              <a:cs typeface="Arial" panose="020B0604020202020204" pitchFamily="34" charset="0"/>
            </a:rPr>
            <a:t>(1)</a:t>
          </a:r>
          <a:r>
            <a:rPr lang="fr-FR" sz="1100">
              <a:solidFill>
                <a:srgbClr val="626469"/>
              </a:solidFill>
              <a:latin typeface="Arial" panose="020B0604020202020204" pitchFamily="34" charset="0"/>
              <a:cs typeface="Arial" panose="020B0604020202020204" pitchFamily="34" charset="0"/>
            </a:rPr>
            <a:t>The deceleration time is not taken into account in the calculation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chneider-electric.com/en/download/document/NVE88423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schneider-electric.com/en/product/ATVRD15N4/" TargetMode="External"/><Relationship Id="rId1" Type="http://schemas.openxmlformats.org/officeDocument/2006/relationships/hyperlink" Target="http://www.schneider-electric.com/en/product/ATVRU75N4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chneider-electric.com/en/download/document/NVE94856/" TargetMode="External"/><Relationship Id="rId4" Type="http://schemas.openxmlformats.org/officeDocument/2006/relationships/hyperlink" Target="http://www.schneider-electric.com/drive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zoomScaleNormal="100" workbookViewId="0">
      <pane xSplit="16" ySplit="20" topLeftCell="Q21" activePane="bottomRight" state="frozen"/>
      <selection pane="topRight" activeCell="Q1" sqref="Q1"/>
      <selection pane="bottomLeft" activeCell="A22" sqref="A22"/>
      <selection pane="bottomRight" activeCell="I18" sqref="I18"/>
    </sheetView>
  </sheetViews>
  <sheetFormatPr defaultColWidth="11.42578125" defaultRowHeight="14.25" x14ac:dyDescent="0.2"/>
  <cols>
    <col min="1" max="7" width="11.42578125" style="3"/>
    <col min="8" max="8" width="12.7109375" style="3" customWidth="1"/>
    <col min="9" max="10" width="13" style="3" customWidth="1"/>
    <col min="11" max="11" width="12.5703125" style="3" customWidth="1"/>
    <col min="12" max="12" width="10.7109375" style="3" customWidth="1"/>
    <col min="13" max="16384" width="11.42578125" style="3"/>
  </cols>
  <sheetData>
    <row r="1" spans="5:12" ht="35.25" x14ac:dyDescent="0.5">
      <c r="E1" s="31" t="s">
        <v>51</v>
      </c>
    </row>
    <row r="16" spans="5:12" ht="15.75" x14ac:dyDescent="0.25">
      <c r="H16" s="59" t="s">
        <v>73</v>
      </c>
      <c r="I16" s="64" t="s">
        <v>68</v>
      </c>
      <c r="J16" s="68" t="s">
        <v>69</v>
      </c>
      <c r="K16" s="64" t="s">
        <v>70</v>
      </c>
      <c r="L16" s="67"/>
    </row>
    <row r="17" spans="1:16" ht="15.75" x14ac:dyDescent="0.25">
      <c r="G17" s="58"/>
      <c r="H17" s="57"/>
      <c r="I17" s="65"/>
      <c r="J17" s="66"/>
      <c r="K17" s="67"/>
      <c r="L17" s="67"/>
      <c r="M17" s="67"/>
      <c r="N17" s="67"/>
      <c r="O17" s="67"/>
      <c r="P17" s="67"/>
    </row>
    <row r="18" spans="1:16" ht="15.75" x14ac:dyDescent="0.25">
      <c r="H18" s="58" t="s">
        <v>75</v>
      </c>
      <c r="I18" s="64" t="s">
        <v>72</v>
      </c>
      <c r="J18" s="67"/>
      <c r="K18" s="67"/>
      <c r="L18" s="67"/>
      <c r="M18" s="67"/>
      <c r="N18" s="67"/>
      <c r="O18" s="67"/>
      <c r="P18" s="67"/>
    </row>
    <row r="19" spans="1:16" ht="15.75" x14ac:dyDescent="0.25">
      <c r="A19" s="48" t="s">
        <v>79</v>
      </c>
      <c r="H19" s="58" t="s">
        <v>74</v>
      </c>
      <c r="I19" s="64" t="s">
        <v>59</v>
      </c>
      <c r="J19" s="67"/>
      <c r="K19" s="67"/>
      <c r="L19" s="67"/>
      <c r="M19" s="67"/>
      <c r="N19" s="67"/>
      <c r="O19" s="67"/>
      <c r="P19" s="67"/>
    </row>
    <row r="20" spans="1:16" ht="15" customHeight="1" x14ac:dyDescent="0.25">
      <c r="A20" s="30" t="s">
        <v>81</v>
      </c>
      <c r="I20" s="67"/>
      <c r="J20" s="69" t="s">
        <v>71</v>
      </c>
      <c r="K20" s="69"/>
      <c r="L20" s="69"/>
    </row>
  </sheetData>
  <sheetProtection sheet="1" objects="1" scenarios="1" selectLockedCells="1"/>
  <mergeCells count="1">
    <mergeCell ref="J20:L20"/>
  </mergeCells>
  <hyperlinks>
    <hyperlink ref="I16" r:id="rId1"/>
    <hyperlink ref="K16" r:id="rId2"/>
    <hyperlink ref="I18" r:id="rId3"/>
    <hyperlink ref="J20" r:id="rId4"/>
    <hyperlink ref="I19" r:id="rId5"/>
  </hyperlinks>
  <pageMargins left="0.25" right="0.25" top="0.75" bottom="0.75" header="0.3" footer="0.3"/>
  <pageSetup paperSize="9" orientation="landscape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O21"/>
  <sheetViews>
    <sheetView zoomScaleNormal="100" zoomScaleSheetLayoutView="85" workbookViewId="0">
      <pane xSplit="19" ySplit="23" topLeftCell="T27" activePane="bottomRight" state="frozen"/>
      <selection pane="topRight" activeCell="T1" sqref="T1"/>
      <selection pane="bottomLeft" activeCell="A24" sqref="A24"/>
      <selection pane="bottomRight" activeCell="E11" sqref="E11"/>
    </sheetView>
  </sheetViews>
  <sheetFormatPr defaultColWidth="9.140625" defaultRowHeight="15" x14ac:dyDescent="0.25"/>
  <cols>
    <col min="1" max="6" width="9.140625" style="1"/>
    <col min="7" max="7" width="8.140625" style="1" customWidth="1"/>
    <col min="8" max="10" width="9.140625" style="1"/>
    <col min="11" max="11" width="9.5703125" style="1" bestFit="1" customWidth="1"/>
    <col min="12" max="12" width="8.7109375" style="1" customWidth="1"/>
    <col min="13" max="16384" width="9.140625" style="1"/>
  </cols>
  <sheetData>
    <row r="8" spans="2:12" ht="15.75" x14ac:dyDescent="0.25">
      <c r="H8" s="7" t="s">
        <v>3</v>
      </c>
      <c r="K8" s="8">
        <f>IF(Data!B1&gt;40.5,0,Data!B1)</f>
        <v>0</v>
      </c>
    </row>
    <row r="9" spans="2:12" x14ac:dyDescent="0.25">
      <c r="J9" s="5"/>
      <c r="K9" s="6"/>
    </row>
    <row r="11" spans="2:12" x14ac:dyDescent="0.25">
      <c r="B11" s="2" t="s">
        <v>0</v>
      </c>
      <c r="E11" s="41"/>
      <c r="H11" s="56" t="s">
        <v>60</v>
      </c>
    </row>
    <row r="13" spans="2:12" ht="18" x14ac:dyDescent="0.25">
      <c r="B13" s="2" t="s">
        <v>1</v>
      </c>
      <c r="E13" s="41"/>
      <c r="H13" s="9" t="s">
        <v>4</v>
      </c>
      <c r="I13" s="4"/>
      <c r="J13" s="4"/>
      <c r="K13" s="4"/>
      <c r="L13" s="50">
        <f>Data!I8</f>
        <v>0</v>
      </c>
    </row>
    <row r="15" spans="2:12" x14ac:dyDescent="0.25">
      <c r="B15" s="2" t="s">
        <v>2</v>
      </c>
      <c r="E15" s="41"/>
    </row>
    <row r="16" spans="2:12" ht="18" x14ac:dyDescent="0.25">
      <c r="H16" s="9" t="s">
        <v>5</v>
      </c>
      <c r="I16" s="4"/>
      <c r="J16" s="4"/>
      <c r="K16" s="50"/>
      <c r="L16" s="50">
        <f>Data!J8</f>
        <v>0</v>
      </c>
    </row>
    <row r="18" spans="2:15" x14ac:dyDescent="0.25">
      <c r="H18" s="70" t="str">
        <f>IF(Data!B1&gt;40.5,"Too much power check hoist characteristics and efficiency","")</f>
        <v/>
      </c>
      <c r="I18" s="70"/>
      <c r="J18" s="70"/>
      <c r="K18" s="70"/>
    </row>
    <row r="19" spans="2:15" x14ac:dyDescent="0.25">
      <c r="H19" s="70"/>
      <c r="I19" s="70"/>
      <c r="J19" s="70"/>
      <c r="K19" s="70"/>
    </row>
    <row r="20" spans="2:15" x14ac:dyDescent="0.25">
      <c r="B20" s="47" t="str">
        <f>'How to use it '!A19</f>
        <v>06/2018</v>
      </c>
      <c r="N20" s="34" t="s">
        <v>52</v>
      </c>
      <c r="O20" s="35"/>
    </row>
    <row r="21" spans="2:15" x14ac:dyDescent="0.25">
      <c r="B21" s="30" t="str">
        <f>'How to use it '!A20</f>
        <v>NVE94856-06</v>
      </c>
      <c r="N21" s="36" t="s">
        <v>53</v>
      </c>
      <c r="O21" s="35"/>
    </row>
  </sheetData>
  <sheetProtection sheet="1" objects="1" scenarios="1" selectLockedCells="1"/>
  <mergeCells count="1">
    <mergeCell ref="H18:K19"/>
  </mergeCells>
  <conditionalFormatting sqref="E13">
    <cfRule type="cellIs" priority="6" operator="between">
      <formula>0</formula>
      <formula>1</formula>
    </cfRule>
  </conditionalFormatting>
  <conditionalFormatting sqref="L13">
    <cfRule type="cellIs" priority="4" operator="between">
      <formula>0</formula>
      <formula>3</formula>
    </cfRule>
  </conditionalFormatting>
  <conditionalFormatting sqref="H18:K19">
    <cfRule type="containsText" dxfId="18" priority="3" operator="containsText" text="Too much power check hoist characteristics and efficiency">
      <formula>NOT(ISERROR(SEARCH("Too much power check hoist characteristics and efficiency",H18)))</formula>
    </cfRule>
  </conditionalFormatting>
  <conditionalFormatting sqref="L16">
    <cfRule type="cellIs" priority="2" operator="between">
      <formula>0</formula>
      <formula>3</formula>
    </cfRule>
  </conditionalFormatting>
  <conditionalFormatting sqref="K16">
    <cfRule type="cellIs" priority="1" operator="between">
      <formula>0</formula>
      <formula>3</formula>
    </cfRule>
  </conditionalFormatting>
  <dataValidations count="2">
    <dataValidation type="decimal" allowBlank="1" showInputMessage="1" showErrorMessage="1" sqref="E13 E15">
      <formula1>0</formula1>
      <formula2>1</formula2>
    </dataValidation>
    <dataValidation type="decimal" operator="greaterThanOrEqual" allowBlank="1" showInputMessage="1" showErrorMessage="1" sqref="E11">
      <formula1>0</formula1>
    </dataValidation>
  </dataValidations>
  <pageMargins left="0.25" right="0.25" top="0.75" bottom="0.75" header="0.3" footer="0.3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O31"/>
  <sheetViews>
    <sheetView zoomScaleNormal="100" workbookViewId="0">
      <pane xSplit="16" ySplit="23" topLeftCell="Q42" activePane="bottomRight" state="frozen"/>
      <selection pane="topRight" activeCell="Q1" sqref="Q1"/>
      <selection pane="bottomLeft" activeCell="A24" sqref="A24"/>
      <selection pane="bottomRight" activeCell="D8" sqref="D8:D11"/>
    </sheetView>
  </sheetViews>
  <sheetFormatPr defaultColWidth="9.140625" defaultRowHeight="14.25" x14ac:dyDescent="0.2"/>
  <cols>
    <col min="1" max="1" width="4.42578125" style="3" customWidth="1"/>
    <col min="2" max="2" width="24.140625" style="3" customWidth="1"/>
    <col min="3" max="3" width="6.140625" style="3" customWidth="1"/>
    <col min="4" max="4" width="10.7109375" style="3" customWidth="1"/>
    <col min="5" max="5" width="4.42578125" style="3" customWidth="1"/>
    <col min="6" max="7" width="9.140625" style="3"/>
    <col min="8" max="8" width="9" style="3" customWidth="1"/>
    <col min="9" max="9" width="14.42578125" style="3" bestFit="1" customWidth="1"/>
    <col min="10" max="10" width="4.5703125" style="3" customWidth="1"/>
    <col min="11" max="11" width="36.85546875" style="3" customWidth="1"/>
    <col min="12" max="12" width="9.85546875" style="3" customWidth="1"/>
    <col min="13" max="13" width="3.5703125" style="3" customWidth="1"/>
    <col min="14" max="14" width="28.28515625" style="3" customWidth="1"/>
    <col min="15" max="15" width="10.42578125" style="3" customWidth="1"/>
    <col min="16" max="16" width="3.140625" style="3" customWidth="1"/>
    <col min="17" max="16384" width="9.140625" style="3"/>
  </cols>
  <sheetData>
    <row r="6" spans="2:15" x14ac:dyDescent="0.2">
      <c r="F6" s="11"/>
    </row>
    <row r="7" spans="2:15" ht="15" x14ac:dyDescent="0.25">
      <c r="B7" s="33" t="s">
        <v>36</v>
      </c>
      <c r="F7" s="32" t="s">
        <v>40</v>
      </c>
      <c r="I7" s="49">
        <f>Data!B30</f>
        <v>38.892497107208996</v>
      </c>
      <c r="K7" s="32" t="s">
        <v>57</v>
      </c>
      <c r="L7" s="42"/>
      <c r="N7" s="39" t="s">
        <v>55</v>
      </c>
      <c r="O7" s="42"/>
    </row>
    <row r="8" spans="2:15" ht="15" x14ac:dyDescent="0.25">
      <c r="B8" s="32" t="s">
        <v>35</v>
      </c>
      <c r="D8" s="52">
        <v>1485</v>
      </c>
      <c r="K8" s="32" t="s">
        <v>33</v>
      </c>
      <c r="L8" s="42"/>
      <c r="N8" s="39" t="s">
        <v>54</v>
      </c>
    </row>
    <row r="9" spans="2:15" ht="15" x14ac:dyDescent="0.25">
      <c r="B9" s="32" t="s">
        <v>37</v>
      </c>
      <c r="D9" s="52">
        <v>1800</v>
      </c>
      <c r="F9" s="33" t="s">
        <v>24</v>
      </c>
      <c r="N9" s="39" t="s">
        <v>56</v>
      </c>
      <c r="O9" s="42"/>
    </row>
    <row r="10" spans="2:15" ht="15" x14ac:dyDescent="0.25">
      <c r="B10" s="32" t="s">
        <v>38</v>
      </c>
      <c r="D10" s="42">
        <v>35</v>
      </c>
      <c r="F10" s="32" t="s">
        <v>14</v>
      </c>
      <c r="I10" s="49">
        <f>(I7*D16)/60</f>
        <v>38.892497107208996</v>
      </c>
      <c r="K10" s="72" t="s">
        <v>63</v>
      </c>
      <c r="L10" s="73">
        <f>L7*I22</f>
        <v>0</v>
      </c>
    </row>
    <row r="11" spans="2:15" ht="15.75" customHeight="1" x14ac:dyDescent="0.25">
      <c r="B11" s="32" t="s">
        <v>77</v>
      </c>
      <c r="D11" s="42">
        <v>40</v>
      </c>
      <c r="F11" s="32" t="s">
        <v>28</v>
      </c>
      <c r="I11" s="49">
        <f>I10*D17</f>
        <v>38.892497107208996</v>
      </c>
      <c r="K11" s="72"/>
      <c r="L11" s="73"/>
      <c r="N11" s="72" t="s">
        <v>64</v>
      </c>
      <c r="O11" s="74" t="e">
        <f>Data!A40</f>
        <v>#DIV/0!</v>
      </c>
    </row>
    <row r="12" spans="2:15" ht="15" customHeight="1" x14ac:dyDescent="0.25">
      <c r="B12" s="32" t="s">
        <v>39</v>
      </c>
      <c r="D12" s="42">
        <v>5.2</v>
      </c>
      <c r="F12" s="32" t="s">
        <v>29</v>
      </c>
      <c r="I12" s="49">
        <f>I11*D18</f>
        <v>933.4199305730159</v>
      </c>
      <c r="K12" s="3" t="s">
        <v>62</v>
      </c>
      <c r="N12" s="72"/>
      <c r="O12" s="74"/>
    </row>
    <row r="13" spans="2:15" ht="15" customHeight="1" x14ac:dyDescent="0.25">
      <c r="B13" s="33" t="s">
        <v>12</v>
      </c>
      <c r="F13" s="32" t="s">
        <v>30</v>
      </c>
      <c r="I13" s="49">
        <f>I12*D19</f>
        <v>340698.2746591508</v>
      </c>
      <c r="K13" s="12" t="s">
        <v>34</v>
      </c>
      <c r="L13" s="28">
        <f>(L8*I22)/10^6</f>
        <v>0</v>
      </c>
      <c r="N13" s="72"/>
      <c r="O13" s="74"/>
    </row>
    <row r="14" spans="2:15" ht="15" x14ac:dyDescent="0.25">
      <c r="B14" s="32" t="s">
        <v>13</v>
      </c>
      <c r="D14" s="42">
        <v>0.88</v>
      </c>
      <c r="N14" s="72"/>
      <c r="O14" s="74"/>
    </row>
    <row r="15" spans="2:15" ht="15" x14ac:dyDescent="0.25">
      <c r="B15" s="33" t="s">
        <v>14</v>
      </c>
    </row>
    <row r="16" spans="2:15" ht="15" x14ac:dyDescent="0.25">
      <c r="B16" s="32" t="s">
        <v>15</v>
      </c>
      <c r="D16" s="42">
        <v>60</v>
      </c>
    </row>
    <row r="17" spans="2:14" ht="15" x14ac:dyDescent="0.25">
      <c r="B17" s="32" t="s">
        <v>61</v>
      </c>
      <c r="D17" s="42">
        <v>1</v>
      </c>
      <c r="F17" s="32" t="s">
        <v>41</v>
      </c>
      <c r="I17" s="49">
        <f>Data!B31</f>
        <v>19.446248553604498</v>
      </c>
    </row>
    <row r="18" spans="2:14" ht="15" x14ac:dyDescent="0.25">
      <c r="B18" s="32" t="s">
        <v>16</v>
      </c>
      <c r="D18" s="42">
        <v>24</v>
      </c>
      <c r="F18" s="33" t="s">
        <v>24</v>
      </c>
      <c r="K18" s="7" t="s">
        <v>3</v>
      </c>
      <c r="L18" s="49">
        <f>IF(Data!B32&gt;40.5,0,Data!B32)</f>
        <v>36.947872251848544</v>
      </c>
    </row>
    <row r="19" spans="2:14" ht="15" x14ac:dyDescent="0.25">
      <c r="B19" s="32" t="s">
        <v>17</v>
      </c>
      <c r="D19" s="42">
        <v>365</v>
      </c>
      <c r="F19" s="32" t="s">
        <v>14</v>
      </c>
      <c r="I19" s="49">
        <f>(I17*D16)/60</f>
        <v>19.446248553604498</v>
      </c>
    </row>
    <row r="20" spans="2:14" ht="15" x14ac:dyDescent="0.25">
      <c r="F20" s="32" t="s">
        <v>28</v>
      </c>
      <c r="I20" s="49">
        <f>I19*D17</f>
        <v>19.446248553604498</v>
      </c>
      <c r="K20" s="7" t="s">
        <v>4</v>
      </c>
      <c r="L20" s="15">
        <f>Data!I31</f>
        <v>0</v>
      </c>
    </row>
    <row r="21" spans="2:14" ht="15" x14ac:dyDescent="0.25">
      <c r="B21" s="71" t="str">
        <f>IF((D16*D17)&gt;60,"Typical Cycle Time and Typical Cycle number / hour are not consistent","")</f>
        <v/>
      </c>
      <c r="C21" s="71"/>
      <c r="F21" s="32" t="s">
        <v>29</v>
      </c>
      <c r="I21" s="49">
        <f>I20*D18</f>
        <v>466.70996528650795</v>
      </c>
      <c r="K21" s="7" t="s">
        <v>5</v>
      </c>
      <c r="L21" s="15">
        <f>Data!J31</f>
        <v>3</v>
      </c>
      <c r="N21" s="47" t="str">
        <f>'How to use it '!A19</f>
        <v>06/2018</v>
      </c>
    </row>
    <row r="22" spans="2:14" ht="15" x14ac:dyDescent="0.25">
      <c r="B22" s="71"/>
      <c r="C22" s="71"/>
      <c r="F22" s="32" t="s">
        <v>30</v>
      </c>
      <c r="I22" s="49">
        <f>I21*D19</f>
        <v>170349.1373295754</v>
      </c>
      <c r="N22" s="30" t="str">
        <f>'How to use it '!A20</f>
        <v>NVE94856-06</v>
      </c>
    </row>
    <row r="29" spans="2:14" ht="15" customHeight="1" x14ac:dyDescent="0.2">
      <c r="K29" s="40"/>
    </row>
    <row r="31" spans="2:14" ht="15.75" x14ac:dyDescent="0.2">
      <c r="K31" s="40"/>
    </row>
  </sheetData>
  <sheetProtection sheet="1" objects="1" scenarios="1" selectLockedCells="1"/>
  <mergeCells count="5">
    <mergeCell ref="B21:C22"/>
    <mergeCell ref="K10:K11"/>
    <mergeCell ref="L10:L11"/>
    <mergeCell ref="N11:N14"/>
    <mergeCell ref="O11:O14"/>
  </mergeCells>
  <conditionalFormatting sqref="L18">
    <cfRule type="cellIs" dxfId="17" priority="4" operator="equal">
      <formula>0</formula>
    </cfRule>
  </conditionalFormatting>
  <conditionalFormatting sqref="D17">
    <cfRule type="expression" dxfId="16" priority="3">
      <formula>(D16*D17)&gt;60</formula>
    </cfRule>
  </conditionalFormatting>
  <conditionalFormatting sqref="B21">
    <cfRule type="containsText" dxfId="15" priority="2" operator="containsText" text="Typical Cycle Time and Typical Cycle number / hour are not consistent">
      <formula>NOT(ISERROR(SEARCH("Typical Cycle Time and Typical Cycle number / hour are not consistent",B21)))</formula>
    </cfRule>
  </conditionalFormatting>
  <conditionalFormatting sqref="D16">
    <cfRule type="expression" dxfId="14" priority="1">
      <formula>$D$16*$D$17&gt;60</formula>
    </cfRule>
  </conditionalFormatting>
  <conditionalFormatting sqref="D16">
    <cfRule type="expression" dxfId="13" priority="16">
      <formula>(#REF!*D16)&gt;60</formula>
    </cfRule>
  </conditionalFormatting>
  <dataValidations count="5">
    <dataValidation type="decimal" operator="greaterThanOrEqual" allowBlank="1" showInputMessage="1" showErrorMessage="1" sqref="L7:L8 D16 O7 O9 D8:D10 D11:D12">
      <formula1>0</formula1>
    </dataValidation>
    <dataValidation operator="greaterThanOrEqual" allowBlank="1" showInputMessage="1" showErrorMessage="1" sqref="D17"/>
    <dataValidation type="decimal" allowBlank="1" showInputMessage="1" showErrorMessage="1" sqref="D18">
      <formula1>0</formula1>
      <formula2>24</formula2>
    </dataValidation>
    <dataValidation type="decimal" allowBlank="1" showInputMessage="1" showErrorMessage="1" sqref="D19">
      <formula1>0</formula1>
      <formula2>365.25</formula2>
    </dataValidation>
    <dataValidation type="decimal" allowBlank="1" showInputMessage="1" showErrorMessage="1" sqref="D14">
      <formula1>0</formula1>
      <formula2>1</formula2>
    </dataValidation>
  </dataValidations>
  <pageMargins left="0.25" right="0.25" top="0.75" bottom="0.75" header="0.3" footer="0.3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6:Q38"/>
  <sheetViews>
    <sheetView zoomScaleNormal="100" zoomScaleSheetLayoutView="115" workbookViewId="0">
      <pane xSplit="13" ySplit="24" topLeftCell="N25" activePane="bottomRight" state="frozen"/>
      <selection pane="topRight" activeCell="N1" sqref="N1"/>
      <selection pane="bottomLeft" activeCell="A25" sqref="A25"/>
      <selection pane="bottomRight" activeCell="I16" sqref="I16"/>
    </sheetView>
  </sheetViews>
  <sheetFormatPr defaultColWidth="9.140625" defaultRowHeight="14.25" x14ac:dyDescent="0.2"/>
  <cols>
    <col min="1" max="1" width="3.28515625" style="3" customWidth="1"/>
    <col min="2" max="2" width="25.28515625" style="3" customWidth="1"/>
    <col min="3" max="3" width="10.85546875" style="3" customWidth="1"/>
    <col min="4" max="4" width="4.28515625" style="3" customWidth="1"/>
    <col min="5" max="5" width="26" style="3" customWidth="1"/>
    <col min="6" max="6" width="10.42578125" style="3" customWidth="1"/>
    <col min="7" max="7" width="4" style="3" customWidth="1"/>
    <col min="8" max="8" width="36.42578125" style="3" customWidth="1"/>
    <col min="9" max="9" width="10.5703125" style="3" customWidth="1"/>
    <col min="10" max="10" width="4.28515625" style="3" customWidth="1"/>
    <col min="11" max="11" width="35.140625" style="3" customWidth="1"/>
    <col min="12" max="12" width="11.140625" style="3" customWidth="1"/>
    <col min="13" max="13" width="5" style="3" customWidth="1"/>
    <col min="14" max="16384" width="9.140625" style="3"/>
  </cols>
  <sheetData>
    <row r="6" spans="2:12" ht="15" x14ac:dyDescent="0.25">
      <c r="B6" s="33" t="s">
        <v>9</v>
      </c>
      <c r="E6" s="33" t="s">
        <v>18</v>
      </c>
      <c r="F6" s="33" t="s">
        <v>26</v>
      </c>
      <c r="H6" s="32" t="s">
        <v>31</v>
      </c>
      <c r="I6" s="53">
        <f>F14*(1*F7+0.75*F8+0.5*F9+0.25*F10)</f>
        <v>3.8790374999999995</v>
      </c>
      <c r="K6" s="7" t="s">
        <v>3</v>
      </c>
      <c r="L6" s="14">
        <f>IF(Data!B20&gt;40.5,0,F15)</f>
        <v>3.3063722099999997</v>
      </c>
    </row>
    <row r="7" spans="2:12" ht="15" x14ac:dyDescent="0.25">
      <c r="B7" s="32" t="s">
        <v>58</v>
      </c>
      <c r="C7" s="32" t="s">
        <v>25</v>
      </c>
      <c r="E7" s="32" t="s">
        <v>19</v>
      </c>
      <c r="F7" s="45">
        <v>0.5</v>
      </c>
      <c r="H7" s="32" t="s">
        <v>32</v>
      </c>
      <c r="I7" s="55">
        <f>I6*C15*C14*0.95*C14</f>
        <v>2.6864274206249994</v>
      </c>
      <c r="L7" s="13"/>
    </row>
    <row r="8" spans="2:12" ht="15" x14ac:dyDescent="0.25">
      <c r="E8" s="32" t="s">
        <v>20</v>
      </c>
      <c r="F8" s="45">
        <v>0.25</v>
      </c>
      <c r="H8" s="32" t="s">
        <v>76</v>
      </c>
      <c r="I8" s="53">
        <f>F16</f>
        <v>45</v>
      </c>
      <c r="K8" s="7" t="s">
        <v>4</v>
      </c>
      <c r="L8" s="15">
        <f>Data!I19</f>
        <v>1</v>
      </c>
    </row>
    <row r="9" spans="2:12" ht="15" x14ac:dyDescent="0.25">
      <c r="B9" s="32" t="str">
        <f>IF(Data!A11=1,"Weight Load (t)",IF(Data!A11=2,"Motor Power (kW)",""))</f>
        <v>Weight Load (t)</v>
      </c>
      <c r="C9" s="42">
        <v>6.3</v>
      </c>
      <c r="E9" s="32" t="s">
        <v>21</v>
      </c>
      <c r="F9" s="45">
        <v>0.25</v>
      </c>
      <c r="H9" s="33" t="s">
        <v>24</v>
      </c>
      <c r="I9" s="38" t="s">
        <v>27</v>
      </c>
      <c r="K9" s="7" t="s">
        <v>5</v>
      </c>
      <c r="L9" s="15">
        <f>Data!J19</f>
        <v>0</v>
      </c>
    </row>
    <row r="10" spans="2:12" ht="15" x14ac:dyDescent="0.25">
      <c r="B10" s="32" t="str">
        <f>IF(B9="Weight Load (t)","Weight Hook (t)","")</f>
        <v>Weight Hook (t)</v>
      </c>
      <c r="C10" s="42">
        <v>1</v>
      </c>
      <c r="E10" s="32" t="s">
        <v>22</v>
      </c>
      <c r="F10" s="45">
        <v>0</v>
      </c>
      <c r="H10" s="32" t="s">
        <v>14</v>
      </c>
      <c r="I10" s="62">
        <f>(I7*I8)/(60*60)</f>
        <v>3.3580342757812492E-2</v>
      </c>
    </row>
    <row r="11" spans="2:12" ht="15" x14ac:dyDescent="0.25">
      <c r="B11" s="32" t="s">
        <v>10</v>
      </c>
      <c r="C11" s="42">
        <v>4</v>
      </c>
      <c r="E11" s="76" t="str">
        <f>IF(SUM(F7:F10)&gt;1,"% of use cannot be greater than 100%","")</f>
        <v/>
      </c>
      <c r="F11" s="76"/>
      <c r="H11" s="32" t="s">
        <v>28</v>
      </c>
      <c r="I11" s="62">
        <f>I10*C18</f>
        <v>0.33580342757812492</v>
      </c>
    </row>
    <row r="12" spans="2:12" ht="15" x14ac:dyDescent="0.25">
      <c r="B12" s="32" t="s">
        <v>11</v>
      </c>
      <c r="C12" s="42">
        <v>3</v>
      </c>
      <c r="H12" s="32" t="s">
        <v>29</v>
      </c>
      <c r="I12" s="62">
        <f>I11*C19</f>
        <v>2.6864274206249994</v>
      </c>
    </row>
    <row r="13" spans="2:12" ht="15" x14ac:dyDescent="0.25">
      <c r="B13" s="33" t="s">
        <v>12</v>
      </c>
      <c r="C13" s="7"/>
      <c r="H13" s="32" t="s">
        <v>30</v>
      </c>
      <c r="I13" s="54">
        <f>I12*C20</f>
        <v>940.24959721874984</v>
      </c>
      <c r="K13" s="32" t="s">
        <v>55</v>
      </c>
      <c r="L13" s="46"/>
    </row>
    <row r="14" spans="2:12" ht="15" x14ac:dyDescent="0.25">
      <c r="B14" s="32" t="s">
        <v>78</v>
      </c>
      <c r="C14" s="42">
        <v>0.9</v>
      </c>
      <c r="E14" s="32" t="s">
        <v>23</v>
      </c>
      <c r="F14" s="53">
        <f>IF(Data!A11=1,('Hoisting Application'!C9+'Hoisting Application'!C10)*1000*9.81*('Hoisting Application'!C11/60)/1000,IF(Data!A11=2,'Hoisting Application'!C9,0))</f>
        <v>4.7741999999999996</v>
      </c>
      <c r="K14" s="32" t="s">
        <v>54</v>
      </c>
    </row>
    <row r="15" spans="2:12" ht="15" x14ac:dyDescent="0.25">
      <c r="B15" s="32" t="s">
        <v>13</v>
      </c>
      <c r="C15" s="43">
        <v>0.9</v>
      </c>
      <c r="E15" s="63" t="s">
        <v>80</v>
      </c>
      <c r="F15" s="53">
        <f>F14*C14*C15*C14*0.95</f>
        <v>3.3063722099999997</v>
      </c>
      <c r="K15" s="32" t="s">
        <v>56</v>
      </c>
      <c r="L15" s="46"/>
    </row>
    <row r="16" spans="2:12" ht="15" x14ac:dyDescent="0.25">
      <c r="B16" s="33" t="s">
        <v>14</v>
      </c>
      <c r="E16" s="32" t="s">
        <v>76</v>
      </c>
      <c r="F16" s="61">
        <f>IF(2*C12/C11&gt;C17,0,C12/(C11/60))</f>
        <v>45</v>
      </c>
      <c r="H16" s="32" t="s">
        <v>57</v>
      </c>
      <c r="I16" s="42">
        <v>0.09</v>
      </c>
    </row>
    <row r="17" spans="2:12" ht="15" customHeight="1" x14ac:dyDescent="0.25">
      <c r="B17" s="32" t="s">
        <v>15</v>
      </c>
      <c r="C17" s="44">
        <v>4</v>
      </c>
      <c r="E17" s="3" t="str">
        <f>IF(F16=0,"Cycle time too low","")</f>
        <v/>
      </c>
      <c r="H17" s="32" t="s">
        <v>33</v>
      </c>
      <c r="I17" s="42">
        <v>500</v>
      </c>
      <c r="K17" s="72" t="s">
        <v>66</v>
      </c>
      <c r="L17" s="75">
        <f>Data!A39</f>
        <v>0</v>
      </c>
    </row>
    <row r="18" spans="2:12" ht="15" customHeight="1" x14ac:dyDescent="0.25">
      <c r="B18" s="32" t="s">
        <v>67</v>
      </c>
      <c r="C18" s="44">
        <v>10</v>
      </c>
      <c r="E18" s="33" t="s">
        <v>24</v>
      </c>
      <c r="K18" s="72"/>
      <c r="L18" s="75"/>
    </row>
    <row r="19" spans="2:12" ht="15" x14ac:dyDescent="0.25">
      <c r="B19" s="32" t="s">
        <v>16</v>
      </c>
      <c r="C19" s="44">
        <v>8</v>
      </c>
      <c r="E19" s="32" t="s">
        <v>14</v>
      </c>
      <c r="F19" s="60">
        <f>(F15*F16)/(60*60)</f>
        <v>4.1329652624999991E-2</v>
      </c>
      <c r="H19" s="72" t="s">
        <v>65</v>
      </c>
      <c r="I19" s="77">
        <f>I13*I16</f>
        <v>84.622463749687483</v>
      </c>
    </row>
    <row r="20" spans="2:12" ht="15" x14ac:dyDescent="0.25">
      <c r="B20" s="32" t="s">
        <v>17</v>
      </c>
      <c r="C20" s="44">
        <v>350</v>
      </c>
      <c r="E20" s="32" t="s">
        <v>28</v>
      </c>
      <c r="F20" s="53">
        <f>F19*(60/C17)</f>
        <v>0.61994478937499986</v>
      </c>
      <c r="H20" s="72"/>
      <c r="I20" s="77"/>
    </row>
    <row r="21" spans="2:12" x14ac:dyDescent="0.2">
      <c r="B21" s="71" t="str">
        <f>IF((C17*C18)&gt;60,"Typical Cycle Time and Typical Cycle number / hour are not consistent","")</f>
        <v/>
      </c>
      <c r="C21" s="71"/>
      <c r="E21" s="32" t="s">
        <v>29</v>
      </c>
      <c r="F21" s="53">
        <f>F20*C19</f>
        <v>4.9595583149999989</v>
      </c>
      <c r="L21" s="47" t="str">
        <f>'How to use it '!A19</f>
        <v>06/2018</v>
      </c>
    </row>
    <row r="22" spans="2:12" ht="15.75" x14ac:dyDescent="0.25">
      <c r="B22" s="71"/>
      <c r="C22" s="71"/>
      <c r="E22" s="32" t="s">
        <v>30</v>
      </c>
      <c r="F22" s="53">
        <f>F21*C20</f>
        <v>1735.8454102499995</v>
      </c>
      <c r="H22" s="12" t="s">
        <v>34</v>
      </c>
      <c r="I22" s="37">
        <f>I13*I17/10^6</f>
        <v>0.47012479860937489</v>
      </c>
      <c r="L22" s="51" t="str">
        <f>'How to use it '!A20</f>
        <v>NVE94856-06</v>
      </c>
    </row>
    <row r="27" spans="2:12" ht="15" customHeight="1" x14ac:dyDescent="0.2"/>
    <row r="37" spans="10:17" ht="15" customHeight="1" x14ac:dyDescent="0.2">
      <c r="J37" s="10"/>
      <c r="K37" s="10"/>
      <c r="L37" s="10"/>
      <c r="M37" s="10"/>
      <c r="N37" s="10"/>
      <c r="O37" s="10"/>
      <c r="P37" s="10"/>
      <c r="Q37" s="10"/>
    </row>
    <row r="38" spans="10:17" ht="15" customHeight="1" x14ac:dyDescent="0.2">
      <c r="J38" s="10"/>
      <c r="K38" s="10"/>
      <c r="L38" s="10"/>
      <c r="M38" s="10"/>
      <c r="N38" s="10"/>
      <c r="O38" s="10"/>
      <c r="P38" s="10"/>
      <c r="Q38" s="10"/>
    </row>
  </sheetData>
  <sheetProtection sheet="1" objects="1" scenarios="1" selectLockedCells="1"/>
  <mergeCells count="6">
    <mergeCell ref="K17:K18"/>
    <mergeCell ref="L17:L18"/>
    <mergeCell ref="E11:F11"/>
    <mergeCell ref="B21:C22"/>
    <mergeCell ref="H19:H20"/>
    <mergeCell ref="I19:I20"/>
  </mergeCells>
  <conditionalFormatting sqref="B10">
    <cfRule type="cellIs" dxfId="12" priority="23" operator="equal">
      <formula>$B$9</formula>
    </cfRule>
  </conditionalFormatting>
  <conditionalFormatting sqref="L6">
    <cfRule type="cellIs" dxfId="11" priority="19" operator="equal">
      <formula>0</formula>
    </cfRule>
  </conditionalFormatting>
  <conditionalFormatting sqref="F7:F10">
    <cfRule type="expression" dxfId="10" priority="17">
      <formula>SUM($F$7:$F$10)&gt;1</formula>
    </cfRule>
  </conditionalFormatting>
  <conditionalFormatting sqref="F8">
    <cfRule type="expression" dxfId="9" priority="14">
      <formula>SUM($F$7:$F$10&gt;1)</formula>
    </cfRule>
  </conditionalFormatting>
  <conditionalFormatting sqref="E11">
    <cfRule type="containsText" dxfId="8" priority="13" operator="containsText" text="% of use cannot be greater than 100%">
      <formula>NOT(ISERROR(SEARCH("% of use cannot be greater than 100%",E11)))</formula>
    </cfRule>
  </conditionalFormatting>
  <conditionalFormatting sqref="C10">
    <cfRule type="expression" dxfId="7" priority="11">
      <formula>OR($B$10="Wheight Hook",$B$10="")</formula>
    </cfRule>
  </conditionalFormatting>
  <conditionalFormatting sqref="C17">
    <cfRule type="expression" dxfId="6" priority="3">
      <formula>E17&lt;&gt;""</formula>
    </cfRule>
    <cfRule type="expression" dxfId="5" priority="10">
      <formula>($C$17*$C$18)&gt;60</formula>
    </cfRule>
  </conditionalFormatting>
  <conditionalFormatting sqref="C18">
    <cfRule type="expression" dxfId="4" priority="9">
      <formula>($C$17*$C$18)&gt;60</formula>
    </cfRule>
  </conditionalFormatting>
  <conditionalFormatting sqref="B21">
    <cfRule type="containsText" dxfId="3" priority="8" operator="containsText" text="Typical Cycle Time and Typical Cycle number / hour are not consistent">
      <formula>NOT(ISERROR(SEARCH("Typical Cycle Time and Typical Cycle number / hour are not consistent",B21)))</formula>
    </cfRule>
  </conditionalFormatting>
  <conditionalFormatting sqref="E17">
    <cfRule type="expression" dxfId="2" priority="4">
      <formula>E17&lt;&gt;""</formula>
    </cfRule>
  </conditionalFormatting>
  <conditionalFormatting sqref="C11">
    <cfRule type="expression" dxfId="1" priority="2">
      <formula>E17&lt;&gt;""</formula>
    </cfRule>
  </conditionalFormatting>
  <conditionalFormatting sqref="C12">
    <cfRule type="expression" dxfId="0" priority="1">
      <formula>E17&lt;&gt;""</formula>
    </cfRule>
  </conditionalFormatting>
  <dataValidations count="5">
    <dataValidation type="decimal" allowBlank="1" showInputMessage="1" showErrorMessage="1" sqref="F7:F10 C14:C15">
      <formula1>0</formula1>
      <formula2>1</formula2>
    </dataValidation>
    <dataValidation type="decimal" operator="greaterThanOrEqual" allowBlank="1" showInputMessage="1" showErrorMessage="1" sqref="L13 I16:I17 C9:C12 C17">
      <formula1>0</formula1>
    </dataValidation>
    <dataValidation type="decimal" operator="greaterThan" allowBlank="1" showInputMessage="1" showErrorMessage="1" sqref="L15">
      <formula1>0</formula1>
    </dataValidation>
    <dataValidation type="decimal" allowBlank="1" showInputMessage="1" showErrorMessage="1" sqref="C20">
      <formula1>0</formula1>
      <formula2>365.25</formula2>
    </dataValidation>
    <dataValidation type="decimal" allowBlank="1" showInputMessage="1" showErrorMessage="1" sqref="C19">
      <formula1>0</formula1>
      <formula2>24</formula2>
    </dataValidation>
  </dataValidations>
  <pageMargins left="0.25" right="0.25" top="0.75" bottom="0.75" header="0.3" footer="0.3"/>
  <pageSetup paperSize="262" scale="71" orientation="landscape" r:id="rId1"/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5</xdr:row>
                    <xdr:rowOff>190500</xdr:rowOff>
                  </from>
                  <to>
                    <xdr:col>1</xdr:col>
                    <xdr:colOff>247650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 sizeWithCells="1">
                  <from>
                    <xdr:col>1</xdr:col>
                    <xdr:colOff>1428750</xdr:colOff>
                    <xdr:row>5</xdr:row>
                    <xdr:rowOff>190500</xdr:rowOff>
                  </from>
                  <to>
                    <xdr:col>1</xdr:col>
                    <xdr:colOff>1638300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="70" zoomScaleNormal="70" workbookViewId="0">
      <selection activeCell="B33" sqref="B33"/>
    </sheetView>
  </sheetViews>
  <sheetFormatPr defaultColWidth="9.140625" defaultRowHeight="14.25" x14ac:dyDescent="0.2"/>
  <cols>
    <col min="1" max="1" width="17" style="16" bestFit="1" customWidth="1"/>
    <col min="2" max="2" width="14.140625" style="16" bestFit="1" customWidth="1"/>
    <col min="3" max="16384" width="9.140625" style="16"/>
  </cols>
  <sheetData>
    <row r="1" spans="1:10" x14ac:dyDescent="0.2">
      <c r="A1" s="17" t="s">
        <v>6</v>
      </c>
      <c r="B1" s="18">
        <f>'Simple Application'!E11*'Simple Application'!E13*0.95*'Simple Application'!E15*'Simple Application'!E15</f>
        <v>0</v>
      </c>
      <c r="C1" s="19"/>
      <c r="D1" s="19"/>
      <c r="E1" s="19"/>
      <c r="F1" s="19" t="s">
        <v>7</v>
      </c>
      <c r="G1" s="19" t="s">
        <v>8</v>
      </c>
      <c r="H1" s="19"/>
      <c r="I1" s="19"/>
      <c r="J1" s="20"/>
    </row>
    <row r="2" spans="1:10" x14ac:dyDescent="0.2">
      <c r="A2" s="21"/>
      <c r="B2" s="22"/>
      <c r="C2" s="22"/>
      <c r="D2" s="22"/>
      <c r="E2" s="22">
        <v>6.8</v>
      </c>
      <c r="F2" s="22">
        <v>1</v>
      </c>
      <c r="G2" s="22">
        <v>0</v>
      </c>
      <c r="H2" s="22">
        <f>IF(AND(B$1&lt;E2,B$1&gt;0,B$1&lt;E3),1,0)</f>
        <v>0</v>
      </c>
      <c r="I2" s="22">
        <f>H2*F2</f>
        <v>0</v>
      </c>
      <c r="J2" s="23">
        <f>H2*G2</f>
        <v>0</v>
      </c>
    </row>
    <row r="3" spans="1:10" x14ac:dyDescent="0.2">
      <c r="A3" s="21"/>
      <c r="B3" s="22"/>
      <c r="C3" s="22"/>
      <c r="D3" s="22"/>
      <c r="E3" s="22">
        <v>13.5</v>
      </c>
      <c r="F3" s="22">
        <v>0</v>
      </c>
      <c r="G3" s="22">
        <v>1</v>
      </c>
      <c r="H3" s="22">
        <f>IF(AND(B$1&lt;E3,B$1&gt;E2,B$1&lt;E4),1,0)</f>
        <v>0</v>
      </c>
      <c r="I3" s="22">
        <f t="shared" ref="I3:I7" si="0">H3*F3</f>
        <v>0</v>
      </c>
      <c r="J3" s="23">
        <f t="shared" ref="J3:J7" si="1">H3*G3</f>
        <v>0</v>
      </c>
    </row>
    <row r="4" spans="1:10" x14ac:dyDescent="0.2">
      <c r="A4" s="21"/>
      <c r="B4" s="22"/>
      <c r="C4" s="22"/>
      <c r="D4" s="22"/>
      <c r="E4" s="22">
        <v>20.3</v>
      </c>
      <c r="F4" s="22">
        <v>1</v>
      </c>
      <c r="G4" s="22">
        <v>1</v>
      </c>
      <c r="H4" s="22">
        <f t="shared" ref="H4:H7" si="2">IF(AND(B$1&lt;E4,B$1&gt;E3,B$1&lt;E5),1,0)</f>
        <v>0</v>
      </c>
      <c r="I4" s="22">
        <f t="shared" si="0"/>
        <v>0</v>
      </c>
      <c r="J4" s="23">
        <f t="shared" si="1"/>
        <v>0</v>
      </c>
    </row>
    <row r="5" spans="1:10" x14ac:dyDescent="0.2">
      <c r="A5" s="21"/>
      <c r="B5" s="22"/>
      <c r="C5" s="22"/>
      <c r="D5" s="22"/>
      <c r="E5" s="22">
        <v>27</v>
      </c>
      <c r="F5" s="22">
        <v>0</v>
      </c>
      <c r="G5" s="22">
        <v>2</v>
      </c>
      <c r="H5" s="22">
        <f t="shared" si="2"/>
        <v>0</v>
      </c>
      <c r="I5" s="22">
        <f t="shared" si="0"/>
        <v>0</v>
      </c>
      <c r="J5" s="23">
        <f t="shared" si="1"/>
        <v>0</v>
      </c>
    </row>
    <row r="6" spans="1:10" x14ac:dyDescent="0.2">
      <c r="A6" s="21"/>
      <c r="B6" s="22"/>
      <c r="C6" s="22"/>
      <c r="D6" s="22"/>
      <c r="E6" s="22">
        <v>33.799999999999997</v>
      </c>
      <c r="F6" s="22">
        <v>1</v>
      </c>
      <c r="G6" s="22">
        <v>2</v>
      </c>
      <c r="H6" s="22">
        <f t="shared" si="2"/>
        <v>0</v>
      </c>
      <c r="I6" s="22">
        <f t="shared" si="0"/>
        <v>0</v>
      </c>
      <c r="J6" s="23">
        <f t="shared" si="1"/>
        <v>0</v>
      </c>
    </row>
    <row r="7" spans="1:10" x14ac:dyDescent="0.2">
      <c r="A7" s="21"/>
      <c r="B7" s="22"/>
      <c r="C7" s="22"/>
      <c r="D7" s="22"/>
      <c r="E7" s="22">
        <v>40.5</v>
      </c>
      <c r="F7" s="22">
        <v>0</v>
      </c>
      <c r="G7" s="22">
        <v>3</v>
      </c>
      <c r="H7" s="22">
        <f t="shared" si="2"/>
        <v>0</v>
      </c>
      <c r="I7" s="22">
        <f t="shared" si="0"/>
        <v>0</v>
      </c>
      <c r="J7" s="23">
        <f t="shared" si="1"/>
        <v>0</v>
      </c>
    </row>
    <row r="8" spans="1:10" x14ac:dyDescent="0.2">
      <c r="A8" s="21"/>
      <c r="B8" s="22"/>
      <c r="C8" s="22"/>
      <c r="D8" s="22"/>
      <c r="E8" s="22">
        <v>999999</v>
      </c>
      <c r="F8" s="22"/>
      <c r="G8" s="22"/>
      <c r="H8" s="22"/>
      <c r="I8" s="22">
        <f>IF(SUM(I2:I7)&gt;3,"",SUM(I2:I7))</f>
        <v>0</v>
      </c>
      <c r="J8" s="23">
        <f>IF(SUM(J2:J7)&gt;3,"",SUM(J2:J7))</f>
        <v>0</v>
      </c>
    </row>
    <row r="9" spans="1:10" x14ac:dyDescent="0.2">
      <c r="A9" s="24"/>
      <c r="B9" s="25"/>
      <c r="C9" s="25"/>
      <c r="D9" s="25"/>
      <c r="E9" s="25"/>
      <c r="F9" s="25"/>
      <c r="G9" s="25"/>
      <c r="H9" s="25"/>
      <c r="I9" s="25"/>
      <c r="J9" s="26"/>
    </row>
    <row r="11" spans="1:10" x14ac:dyDescent="0.2">
      <c r="A11" s="16">
        <v>1</v>
      </c>
    </row>
    <row r="12" spans="1:10" x14ac:dyDescent="0.2">
      <c r="A12" s="17"/>
      <c r="B12" s="19"/>
      <c r="C12" s="19"/>
      <c r="D12" s="19"/>
      <c r="E12" s="19"/>
      <c r="F12" s="19" t="s">
        <v>7</v>
      </c>
      <c r="G12" s="19" t="s">
        <v>8</v>
      </c>
      <c r="H12" s="19"/>
      <c r="I12" s="19"/>
      <c r="J12" s="20"/>
    </row>
    <row r="13" spans="1:10" x14ac:dyDescent="0.2">
      <c r="A13" s="21"/>
      <c r="B13" s="22"/>
      <c r="C13" s="22"/>
      <c r="D13" s="22"/>
      <c r="E13" s="22">
        <v>6.8</v>
      </c>
      <c r="F13" s="22">
        <v>1</v>
      </c>
      <c r="G13" s="22">
        <v>0</v>
      </c>
      <c r="H13" s="22">
        <f>IF(AND(B$20&lt;E13,B$20&gt;0,B$20&lt;E14),1,0)</f>
        <v>1</v>
      </c>
      <c r="I13" s="22">
        <f>H13*F13</f>
        <v>1</v>
      </c>
      <c r="J13" s="23">
        <f>H13*G13</f>
        <v>0</v>
      </c>
    </row>
    <row r="14" spans="1:10" x14ac:dyDescent="0.2">
      <c r="A14" s="21"/>
      <c r="B14" s="22"/>
      <c r="C14" s="22"/>
      <c r="D14" s="22"/>
      <c r="E14" s="22">
        <v>13.5</v>
      </c>
      <c r="F14" s="22">
        <v>0</v>
      </c>
      <c r="G14" s="22">
        <v>1</v>
      </c>
      <c r="H14" s="22">
        <f>IF(AND(B$20&lt;E14,B$20&gt;E13,B$20&lt;E15),1,0)</f>
        <v>0</v>
      </c>
      <c r="I14" s="22">
        <f t="shared" ref="I14:I18" si="3">H14*F14</f>
        <v>0</v>
      </c>
      <c r="J14" s="23">
        <f t="shared" ref="J14:J18" si="4">H14*G14</f>
        <v>0</v>
      </c>
    </row>
    <row r="15" spans="1:10" x14ac:dyDescent="0.2">
      <c r="A15" s="21"/>
      <c r="B15" s="22"/>
      <c r="C15" s="22"/>
      <c r="D15" s="22"/>
      <c r="E15" s="22">
        <v>20.3</v>
      </c>
      <c r="F15" s="22">
        <v>1</v>
      </c>
      <c r="G15" s="22">
        <v>1</v>
      </c>
      <c r="H15" s="22">
        <f t="shared" ref="H15:H18" si="5">IF(AND(B$20&lt;E15,B$20&gt;E14,B$20&lt;E16),1,0)</f>
        <v>0</v>
      </c>
      <c r="I15" s="22">
        <f t="shared" si="3"/>
        <v>0</v>
      </c>
      <c r="J15" s="23">
        <f t="shared" si="4"/>
        <v>0</v>
      </c>
    </row>
    <row r="16" spans="1:10" x14ac:dyDescent="0.2">
      <c r="A16" s="21"/>
      <c r="B16" s="22"/>
      <c r="C16" s="22"/>
      <c r="D16" s="22"/>
      <c r="E16" s="22">
        <v>27</v>
      </c>
      <c r="F16" s="22">
        <v>0</v>
      </c>
      <c r="G16" s="22">
        <v>2</v>
      </c>
      <c r="H16" s="22">
        <f t="shared" si="5"/>
        <v>0</v>
      </c>
      <c r="I16" s="22">
        <f t="shared" si="3"/>
        <v>0</v>
      </c>
      <c r="J16" s="23">
        <f t="shared" si="4"/>
        <v>0</v>
      </c>
    </row>
    <row r="17" spans="1:10" x14ac:dyDescent="0.2">
      <c r="A17" s="21"/>
      <c r="B17" s="22"/>
      <c r="C17" s="22"/>
      <c r="D17" s="22"/>
      <c r="E17" s="22">
        <v>33.799999999999997</v>
      </c>
      <c r="F17" s="22">
        <v>1</v>
      </c>
      <c r="G17" s="22">
        <v>2</v>
      </c>
      <c r="H17" s="22">
        <f t="shared" si="5"/>
        <v>0</v>
      </c>
      <c r="I17" s="22">
        <f t="shared" si="3"/>
        <v>0</v>
      </c>
      <c r="J17" s="23">
        <f t="shared" si="4"/>
        <v>0</v>
      </c>
    </row>
    <row r="18" spans="1:10" x14ac:dyDescent="0.2">
      <c r="A18" s="21"/>
      <c r="B18" s="22"/>
      <c r="C18" s="22"/>
      <c r="D18" s="22"/>
      <c r="E18" s="22">
        <v>40.5</v>
      </c>
      <c r="F18" s="22">
        <v>0</v>
      </c>
      <c r="G18" s="22">
        <v>3</v>
      </c>
      <c r="H18" s="22">
        <f t="shared" si="5"/>
        <v>0</v>
      </c>
      <c r="I18" s="22">
        <f t="shared" si="3"/>
        <v>0</v>
      </c>
      <c r="J18" s="23">
        <f t="shared" si="4"/>
        <v>0</v>
      </c>
    </row>
    <row r="19" spans="1:10" x14ac:dyDescent="0.2">
      <c r="A19" s="21"/>
      <c r="B19" s="22"/>
      <c r="C19" s="22"/>
      <c r="D19" s="22"/>
      <c r="E19" s="22">
        <v>999999</v>
      </c>
      <c r="F19" s="22"/>
      <c r="G19" s="22"/>
      <c r="H19" s="22"/>
      <c r="I19" s="22">
        <f>IF(SUM(I13:I18)&gt;3,"",SUM(I13:I18))</f>
        <v>1</v>
      </c>
      <c r="J19" s="23">
        <f>IF(SUM(J13:J18)&gt;3,"",SUM(J13:J18))</f>
        <v>0</v>
      </c>
    </row>
    <row r="20" spans="1:10" x14ac:dyDescent="0.2">
      <c r="A20" s="21" t="s">
        <v>6</v>
      </c>
      <c r="B20" s="27">
        <f>'Hoisting Application'!F15</f>
        <v>3.3063722099999997</v>
      </c>
      <c r="C20" s="22"/>
      <c r="D20" s="22"/>
      <c r="E20" s="22"/>
      <c r="F20" s="22"/>
      <c r="G20" s="22"/>
      <c r="H20" s="22"/>
      <c r="I20" s="22"/>
      <c r="J20" s="23"/>
    </row>
    <row r="21" spans="1:10" x14ac:dyDescent="0.2">
      <c r="A21" s="24"/>
      <c r="B21" s="25"/>
      <c r="C21" s="25"/>
      <c r="D21" s="25"/>
      <c r="E21" s="25"/>
      <c r="F21" s="25"/>
      <c r="G21" s="25"/>
      <c r="H21" s="25"/>
      <c r="I21" s="25"/>
      <c r="J21" s="26"/>
    </row>
    <row r="24" spans="1:10" x14ac:dyDescent="0.2">
      <c r="A24" s="17" t="s">
        <v>43</v>
      </c>
      <c r="B24" s="18">
        <f>'Centrifugal Application'!D8/'Centrifugal Application'!D9</f>
        <v>0.82499999999999996</v>
      </c>
      <c r="C24" s="19"/>
      <c r="D24" s="19"/>
      <c r="E24" s="19"/>
      <c r="F24" s="19" t="s">
        <v>7</v>
      </c>
      <c r="G24" s="19" t="s">
        <v>8</v>
      </c>
      <c r="H24" s="19"/>
      <c r="I24" s="19"/>
      <c r="J24" s="20"/>
    </row>
    <row r="25" spans="1:10" x14ac:dyDescent="0.2">
      <c r="A25" s="21" t="s">
        <v>46</v>
      </c>
      <c r="B25" s="27" t="e">
        <f>'Centrifugal Application'!D12+('Centrifugal Application'!#REF!/Data!B24^2)</f>
        <v>#REF!</v>
      </c>
      <c r="C25" s="22"/>
      <c r="D25" s="22"/>
      <c r="E25" s="22">
        <v>6.8</v>
      </c>
      <c r="F25" s="22">
        <v>1</v>
      </c>
      <c r="G25" s="22">
        <v>0</v>
      </c>
      <c r="H25" s="22">
        <f>IF(AND(B$32&lt;E25,B$32&gt;0,B$32&lt;E26),1,0)</f>
        <v>0</v>
      </c>
      <c r="I25" s="22">
        <f>H25*F25</f>
        <v>0</v>
      </c>
      <c r="J25" s="23">
        <f>H25*G25</f>
        <v>0</v>
      </c>
    </row>
    <row r="26" spans="1:10" x14ac:dyDescent="0.2">
      <c r="A26" s="21" t="s">
        <v>47</v>
      </c>
      <c r="B26" s="27">
        <f>'Centrifugal Application'!D12+('Centrifugal Application'!D11/Data!B24^2)</f>
        <v>63.96951331496787</v>
      </c>
      <c r="C26" s="22"/>
      <c r="D26" s="22"/>
      <c r="E26" s="22">
        <v>13.5</v>
      </c>
      <c r="F26" s="22">
        <v>0</v>
      </c>
      <c r="G26" s="22">
        <v>1</v>
      </c>
      <c r="H26" s="22">
        <f>IF(AND(B$32&lt;E26,B$32&gt;E25,B$32&lt;E27),1,0)</f>
        <v>0</v>
      </c>
      <c r="I26" s="22">
        <f t="shared" ref="I26:I30" si="6">H26*F26</f>
        <v>0</v>
      </c>
      <c r="J26" s="23">
        <f t="shared" ref="J26:J30" si="7">H26*G26</f>
        <v>0</v>
      </c>
    </row>
    <row r="27" spans="1:10" x14ac:dyDescent="0.2">
      <c r="A27" s="21" t="s">
        <v>42</v>
      </c>
      <c r="B27" s="27">
        <f>(2*PI()*'Centrifugal Application'!D8)/60</f>
        <v>155.50883635269477</v>
      </c>
      <c r="C27" s="22"/>
      <c r="D27" s="22"/>
      <c r="E27" s="22">
        <v>20.3</v>
      </c>
      <c r="F27" s="22">
        <v>1</v>
      </c>
      <c r="G27" s="22">
        <v>1</v>
      </c>
      <c r="H27" s="22">
        <f t="shared" ref="H27:H30" si="8">IF(AND(B$32&lt;E27,B$32&gt;E26,B$32&lt;E28),1,0)</f>
        <v>0</v>
      </c>
      <c r="I27" s="22">
        <f t="shared" si="6"/>
        <v>0</v>
      </c>
      <c r="J27" s="23">
        <f t="shared" si="7"/>
        <v>0</v>
      </c>
    </row>
    <row r="28" spans="1:10" x14ac:dyDescent="0.2">
      <c r="A28" s="21" t="s">
        <v>44</v>
      </c>
      <c r="B28" s="27">
        <f>B27/'Centrifugal Application'!D10</f>
        <v>4.4431096100769931</v>
      </c>
      <c r="C28" s="22"/>
      <c r="D28" s="22"/>
      <c r="E28" s="22">
        <v>27</v>
      </c>
      <c r="F28" s="22">
        <v>0</v>
      </c>
      <c r="G28" s="22">
        <v>2</v>
      </c>
      <c r="H28" s="22">
        <f t="shared" si="8"/>
        <v>0</v>
      </c>
      <c r="I28" s="22">
        <f t="shared" si="6"/>
        <v>0</v>
      </c>
      <c r="J28" s="23">
        <f t="shared" si="7"/>
        <v>0</v>
      </c>
    </row>
    <row r="29" spans="1:10" x14ac:dyDescent="0.2">
      <c r="A29" s="21" t="s">
        <v>45</v>
      </c>
      <c r="B29" s="27">
        <f>B26*B28</f>
        <v>284.22355936168191</v>
      </c>
      <c r="C29" s="22"/>
      <c r="D29" s="22"/>
      <c r="E29" s="22">
        <v>33.799999999999997</v>
      </c>
      <c r="F29" s="22">
        <v>1</v>
      </c>
      <c r="G29" s="22">
        <v>2</v>
      </c>
      <c r="H29" s="22">
        <f t="shared" si="8"/>
        <v>0</v>
      </c>
      <c r="I29" s="22">
        <f t="shared" si="6"/>
        <v>0</v>
      </c>
      <c r="J29" s="23">
        <f t="shared" si="7"/>
        <v>0</v>
      </c>
    </row>
    <row r="30" spans="1:10" x14ac:dyDescent="0.2">
      <c r="A30" s="21" t="s">
        <v>48</v>
      </c>
      <c r="B30" s="27">
        <f>(B29*'Centrifugal Application'!D8*'Centrifugal Application'!D14)/(9.55*1000)</f>
        <v>38.892497107208996</v>
      </c>
      <c r="C30" s="22"/>
      <c r="D30" s="22"/>
      <c r="E30" s="22">
        <v>40.5</v>
      </c>
      <c r="F30" s="22">
        <v>0</v>
      </c>
      <c r="G30" s="22">
        <v>3</v>
      </c>
      <c r="H30" s="22">
        <f t="shared" si="8"/>
        <v>1</v>
      </c>
      <c r="I30" s="22">
        <f t="shared" si="6"/>
        <v>0</v>
      </c>
      <c r="J30" s="23">
        <f t="shared" si="7"/>
        <v>3</v>
      </c>
    </row>
    <row r="31" spans="1:10" x14ac:dyDescent="0.2">
      <c r="A31" s="21" t="s">
        <v>49</v>
      </c>
      <c r="B31" s="27">
        <f>B30/2</f>
        <v>19.446248553604498</v>
      </c>
      <c r="C31" s="22"/>
      <c r="D31" s="22"/>
      <c r="E31" s="22">
        <v>999999</v>
      </c>
      <c r="F31" s="22"/>
      <c r="G31" s="22"/>
      <c r="H31" s="22"/>
      <c r="I31" s="22">
        <f>IF(SUM(I25:I30)&gt;3,"",SUM(I25:I30))</f>
        <v>0</v>
      </c>
      <c r="J31" s="23">
        <f>IF(SUM(J25:J30)&gt;3,"",SUM(J25:J30))</f>
        <v>3</v>
      </c>
    </row>
    <row r="32" spans="1:10" x14ac:dyDescent="0.2">
      <c r="A32" s="21" t="s">
        <v>50</v>
      </c>
      <c r="B32" s="27">
        <f>B30*0.95</f>
        <v>36.947872251848544</v>
      </c>
      <c r="C32" s="22"/>
      <c r="D32" s="22"/>
      <c r="E32" s="22"/>
      <c r="F32" s="22"/>
      <c r="G32" s="22"/>
      <c r="H32" s="22"/>
      <c r="I32" s="22"/>
      <c r="J32" s="23"/>
    </row>
    <row r="33" spans="1:10" x14ac:dyDescent="0.2">
      <c r="A33" s="24"/>
      <c r="B33" s="25"/>
      <c r="C33" s="25"/>
      <c r="D33" s="25"/>
      <c r="E33" s="25"/>
      <c r="F33" s="25"/>
      <c r="G33" s="25"/>
      <c r="H33" s="25"/>
      <c r="I33" s="25"/>
      <c r="J33" s="26"/>
    </row>
    <row r="39" spans="1:10" x14ac:dyDescent="0.2">
      <c r="A39" s="29">
        <f>('Hoisting Application'!L13+'Hoisting Application'!L15)/'Hoisting Application'!I19</f>
        <v>0</v>
      </c>
    </row>
    <row r="40" spans="1:10" x14ac:dyDescent="0.2">
      <c r="A40" s="29" t="e">
        <f>('Centrifugal Application'!O7+'Centrifugal Application'!O9)/'Centrifugal Application'!L10</f>
        <v>#DIV/0!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How to use it </vt:lpstr>
      <vt:lpstr>Simple Application</vt:lpstr>
      <vt:lpstr>Centrifugal Application</vt:lpstr>
      <vt:lpstr>Hoisting Application</vt:lpstr>
      <vt:lpstr>Data</vt:lpstr>
      <vt:lpstr>'Hoisting Application'!Print_Area</vt:lpstr>
    </vt:vector>
  </TitlesOfParts>
  <Company>Schneider Electric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 Electric</dc:creator>
  <cp:lastModifiedBy>Thomas RENARD</cp:lastModifiedBy>
  <cp:lastPrinted>2017-04-25T09:06:23Z</cp:lastPrinted>
  <dcterms:created xsi:type="dcterms:W3CDTF">2016-12-14T14:40:18Z</dcterms:created>
  <dcterms:modified xsi:type="dcterms:W3CDTF">2018-06-23T08:30:19Z</dcterms:modified>
</cp:coreProperties>
</file>